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omments2.xml" ContentType="application/vnd.openxmlformats-officedocument.spreadsheetml.comments+xml"/>
  <Override PartName="/xl/drawings/drawing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P:\SCS\API\Études supérieures\Graduation et Mémoire\Mémoire\MÉMOIRES - copies finales\20171\"/>
    </mc:Choice>
  </mc:AlternateContent>
  <bookViews>
    <workbookView xWindow="0" yWindow="0" windowWidth="20490" windowHeight="7530"/>
  </bookViews>
  <sheets>
    <sheet name="Data- Events" sheetId="1" r:id="rId1"/>
    <sheet name="News Sources" sheetId="8" r:id="rId2"/>
    <sheet name="Overall Over Time" sheetId="4" r:id="rId3"/>
    <sheet name="Mechanism by Category" sheetId="7" r:id="rId4"/>
    <sheet name="Data by Category" sheetId="3" r:id="rId5"/>
    <sheet name="Contest-Compliance by Category" sheetId="5" r:id="rId6"/>
    <sheet name="Specific Mech Used by Category" sheetId="6" r:id="rId7"/>
  </sheets>
  <definedNames>
    <definedName name="_xlnm._FilterDatabase" localSheetId="4" hidden="1">'Data by Category'!$A$1:$G$1</definedName>
    <definedName name="_xlnm._FilterDatabase" localSheetId="0" hidden="1">'Data- Events'!$B$1:$I$77</definedName>
    <definedName name="_xlnm._FilterDatabase" localSheetId="1" hidden="1">'News Sources'!$A$1:$B$1</definedName>
  </definedNames>
  <calcPr calcId="171027"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 i="4" l="1"/>
  <c r="C19" i="4"/>
  <c r="C18" i="4"/>
  <c r="C17" i="4"/>
  <c r="C16" i="4"/>
  <c r="C15" i="4"/>
  <c r="C14" i="4"/>
  <c r="C13" i="4"/>
  <c r="C12" i="4"/>
  <c r="C11" i="4"/>
  <c r="C10" i="4"/>
  <c r="C9" i="4"/>
  <c r="C8" i="4"/>
  <c r="C7" i="4"/>
  <c r="C6" i="4"/>
  <c r="C5" i="4"/>
  <c r="C4" i="4"/>
  <c r="C3" i="4"/>
  <c r="C2" i="4"/>
  <c r="D20" i="4"/>
  <c r="D19" i="4"/>
  <c r="D18" i="4"/>
  <c r="D17" i="4"/>
  <c r="D16" i="4"/>
  <c r="D15" i="4"/>
  <c r="D14" i="4"/>
  <c r="D13" i="4"/>
  <c r="D12" i="4"/>
  <c r="D11" i="4"/>
  <c r="D10" i="4"/>
  <c r="D9" i="4"/>
  <c r="D8" i="4"/>
  <c r="D7" i="4"/>
  <c r="D6" i="4"/>
  <c r="D5" i="4"/>
  <c r="D4" i="4"/>
  <c r="D3" i="4"/>
  <c r="D2" i="4"/>
  <c r="E20" i="4"/>
  <c r="E19" i="4"/>
  <c r="E18" i="4"/>
  <c r="E17" i="4"/>
  <c r="E16" i="4"/>
  <c r="E15" i="4"/>
  <c r="E14" i="4"/>
  <c r="E13" i="4"/>
  <c r="E12" i="4"/>
  <c r="E11" i="4"/>
  <c r="E10" i="4"/>
  <c r="E9" i="4"/>
  <c r="E8" i="4"/>
  <c r="E7" i="4"/>
  <c r="E6" i="4"/>
  <c r="E5" i="4"/>
  <c r="E4" i="4"/>
  <c r="E3" i="4"/>
  <c r="E2" i="4"/>
  <c r="F2" i="4"/>
  <c r="F3" i="4"/>
  <c r="F4" i="4"/>
  <c r="F20" i="4"/>
  <c r="F19" i="4"/>
  <c r="F18" i="4"/>
  <c r="F17" i="4"/>
  <c r="F16" i="4"/>
  <c r="F15" i="4"/>
  <c r="F14" i="4"/>
  <c r="F13" i="4"/>
  <c r="F12" i="4"/>
  <c r="F11" i="4"/>
  <c r="F10" i="4"/>
  <c r="F9" i="4"/>
  <c r="F8" i="4"/>
  <c r="F7" i="4"/>
  <c r="F6" i="4"/>
  <c r="F5" i="4"/>
  <c r="B20" i="4"/>
  <c r="B19" i="4"/>
  <c r="B18" i="4"/>
  <c r="B17" i="4"/>
  <c r="B16" i="4"/>
  <c r="B15" i="4"/>
  <c r="B14" i="4"/>
  <c r="B13" i="4"/>
  <c r="B12" i="4"/>
  <c r="B11" i="4"/>
  <c r="B10" i="4"/>
  <c r="B9" i="4"/>
  <c r="B8" i="4"/>
  <c r="B7" i="4"/>
  <c r="B6" i="4"/>
  <c r="B5" i="4"/>
  <c r="B4" i="4"/>
  <c r="B3" i="4"/>
  <c r="B2" i="4"/>
  <c r="B30" i="4"/>
  <c r="B32" i="4"/>
  <c r="B36" i="4"/>
  <c r="B40" i="4"/>
  <c r="F30" i="4"/>
  <c r="F32" i="4"/>
  <c r="D30" i="4"/>
  <c r="D33" i="4"/>
  <c r="E24" i="4"/>
  <c r="C24" i="4"/>
  <c r="E30" i="4"/>
  <c r="E31" i="4"/>
  <c r="F36" i="4"/>
  <c r="F38" i="4"/>
  <c r="E36" i="4"/>
  <c r="E37" i="4"/>
  <c r="C30" i="4"/>
  <c r="C32" i="4"/>
  <c r="D36" i="4"/>
  <c r="D38" i="4"/>
  <c r="E25" i="4"/>
  <c r="C36" i="4"/>
  <c r="C38" i="4"/>
  <c r="B24" i="4"/>
  <c r="B25" i="4"/>
  <c r="F25" i="4"/>
  <c r="F24" i="4"/>
  <c r="D24" i="4"/>
  <c r="C25" i="4"/>
  <c r="D25" i="4"/>
  <c r="B21" i="4"/>
  <c r="B28" i="4"/>
  <c r="F21" i="4"/>
  <c r="F28" i="4"/>
  <c r="C21" i="4"/>
  <c r="C28" i="4"/>
  <c r="D21" i="4"/>
  <c r="D28" i="4"/>
  <c r="E21" i="4"/>
  <c r="E28" i="4"/>
  <c r="F26" i="4"/>
  <c r="D32" i="4"/>
  <c r="D31" i="4"/>
  <c r="F27" i="4"/>
  <c r="B27" i="4"/>
  <c r="B37" i="4"/>
  <c r="C26" i="4"/>
  <c r="B38" i="4"/>
  <c r="B39" i="4"/>
  <c r="E38" i="4"/>
  <c r="E26" i="4"/>
  <c r="D27" i="4"/>
  <c r="E27" i="4"/>
  <c r="F31" i="4"/>
  <c r="F33" i="4"/>
  <c r="C27" i="4"/>
  <c r="D26" i="4"/>
  <c r="B26" i="4"/>
  <c r="D39" i="4"/>
  <c r="B33" i="4"/>
  <c r="D37" i="4"/>
  <c r="E32" i="4"/>
  <c r="E39" i="4"/>
  <c r="B31" i="4"/>
  <c r="C31" i="4"/>
  <c r="C39" i="4"/>
  <c r="C40" i="4"/>
  <c r="F40" i="4"/>
  <c r="F39" i="4"/>
  <c r="E33" i="4"/>
  <c r="E40" i="4"/>
  <c r="C33" i="4"/>
  <c r="C37" i="4"/>
  <c r="F37" i="4"/>
  <c r="D40" i="4"/>
</calcChain>
</file>

<file path=xl/comments1.xml><?xml version="1.0" encoding="utf-8"?>
<comments xmlns="http://schemas.openxmlformats.org/spreadsheetml/2006/main">
  <authors>
    <author>Jens</author>
  </authors>
  <commentList>
    <comment ref="H19" authorId="0" shapeId="0">
      <text>
        <r>
          <rPr>
            <b/>
            <sz val="9"/>
            <color indexed="81"/>
            <rFont val="Tahoma"/>
            <family val="2"/>
          </rPr>
          <t>Jens:</t>
        </r>
        <r>
          <rPr>
            <sz val="9"/>
            <color indexed="81"/>
            <rFont val="Tahoma"/>
            <family val="2"/>
          </rPr>
          <t xml:space="preserve">
Peace Treaty talks about 'rightful allocation', but not about rights
</t>
        </r>
      </text>
    </comment>
  </commentList>
</comments>
</file>

<file path=xl/comments2.xml><?xml version="1.0" encoding="utf-8"?>
<comments xmlns="http://schemas.openxmlformats.org/spreadsheetml/2006/main">
  <authors>
    <author>Jens</author>
  </authors>
  <commentList>
    <comment ref="G2" authorId="0" shapeId="0">
      <text>
        <r>
          <rPr>
            <b/>
            <sz val="9"/>
            <color indexed="81"/>
            <rFont val="Tahoma"/>
            <family val="2"/>
          </rPr>
          <t>Jens:</t>
        </r>
        <r>
          <rPr>
            <sz val="9"/>
            <color indexed="81"/>
            <rFont val="Tahoma"/>
            <family val="2"/>
          </rPr>
          <t xml:space="preserve">
Peace Treaty talks about 'rightful allocation', but not about rights
</t>
        </r>
      </text>
    </comment>
  </commentList>
</comments>
</file>

<file path=xl/sharedStrings.xml><?xml version="1.0" encoding="utf-8"?>
<sst xmlns="http://schemas.openxmlformats.org/spreadsheetml/2006/main" count="522" uniqueCount="332">
  <si>
    <t>Date</t>
  </si>
  <si>
    <t>Event Summary</t>
  </si>
  <si>
    <t>Issue Type</t>
  </si>
  <si>
    <t>Infrastructure</t>
  </si>
  <si>
    <t>Technical Cooperation</t>
  </si>
  <si>
    <t>Others</t>
  </si>
  <si>
    <t>Jordanian Water Ministry held a donor's conference in Aqaba for the RSDS project. USAID pledged $100 million</t>
  </si>
  <si>
    <t>2015-12-20</t>
  </si>
  <si>
    <t>Jordan Water Ministry and Israel sign Engineering Service Agreement - first phase of the RSDS project. Intl consortium will provide technical, legal and financial services for first phase RSDS</t>
  </si>
  <si>
    <t>2015-12-15</t>
  </si>
  <si>
    <t>Senior Jordanian Official told Jordan's Lower House that Israel was committed to Jordan's water rights as stipulated in the Wadi Araba Peace Treaty. 
Minister of Water Nasser confirmed that water supplied to Amman is the same used by Israelis for drinking</t>
  </si>
  <si>
    <t>2015-12-01</t>
  </si>
  <si>
    <t>2015-11-30</t>
  </si>
  <si>
    <t>Jordan water minister Nasser and Israeli Interior Minister Shalom announced the upcoming $800 tender to be published. Shalom: This is an exceptional environ &amp; diplomatic achivement.. Testifies to the fertile cooperation between 2 countries</t>
  </si>
  <si>
    <t>2015-04-24</t>
  </si>
  <si>
    <t>Govt officials, NGO leaders and environmental experts from US, Can, Isr, Jor, Pal met at 'Water After Borders' conference to address water issues in Great Lakes &amp; Jordan Valley</t>
  </si>
  <si>
    <t>2015-02-26</t>
  </si>
  <si>
    <t>Israel and Jordan sign MoU to undertake RSDS project at the World Bank HQ in Washington. Palestine will receive 30 MCM of freshwater, Israel will buy 50 MCM at cost from Aqaba, and sell 50 MCM to Jordan at JD0.27/CM</t>
  </si>
  <si>
    <t>2014-11-02</t>
  </si>
  <si>
    <t>2014-10-2</t>
  </si>
  <si>
    <t>2014-05-29</t>
  </si>
  <si>
    <t>2014-02-14</t>
  </si>
  <si>
    <t>2016-07-30</t>
  </si>
  <si>
    <t>2016-05-08</t>
  </si>
  <si>
    <t>2013-12-09</t>
  </si>
  <si>
    <t>2014-01-08</t>
  </si>
  <si>
    <t>2013-10-31</t>
  </si>
  <si>
    <t>2013-08-19</t>
  </si>
  <si>
    <t>2013-01-16</t>
  </si>
  <si>
    <t>Final draft of World Bank feasibility report released - economically worth it, could potentially foster wider cooperation</t>
  </si>
  <si>
    <t>2011-06-06</t>
  </si>
  <si>
    <t>2011-01-06</t>
  </si>
  <si>
    <t>2010-02-10</t>
  </si>
  <si>
    <t xml:space="preserve">UN International Meeting in Support of Israeli-Palestinian Peace - water availability, water right &amp; distribution, borders, settlements, refugees, Jerusalem key issues. </t>
  </si>
  <si>
    <t>2009-06-01</t>
  </si>
  <si>
    <t>2009-04-26</t>
  </si>
  <si>
    <t xml:space="preserve">Jordanian parliamentary panel found Israel responsible for pollution in Jordan Valley in early March, pumping contaminated water from Golan to KAC. </t>
  </si>
  <si>
    <t>2008-10-27</t>
  </si>
  <si>
    <t>Mediterranean Union water conference cancelled by Jordan due to tensions between Arab League and Israel.</t>
  </si>
  <si>
    <t>2008-07-12</t>
  </si>
  <si>
    <t>2008-03-19</t>
  </si>
  <si>
    <t>2007-05-18</t>
  </si>
  <si>
    <t>World Economic Forum in Davos - deputy PM Peres met with King Abdullah to discuss the next steps of the RSDS project</t>
  </si>
  <si>
    <t>2006-12-10</t>
  </si>
  <si>
    <t>2006-06-22</t>
  </si>
  <si>
    <t>Water Sharing Agreement</t>
  </si>
  <si>
    <t>Source</t>
  </si>
  <si>
    <t>Neutral/Not Enough Information</t>
  </si>
  <si>
    <t>1995-06-22</t>
  </si>
  <si>
    <t>FM Peres and Crown Prince Hassan held talks on water-sharing and joint water projects</t>
  </si>
  <si>
    <t>1995-06-20</t>
  </si>
  <si>
    <t>1995-06-06</t>
  </si>
  <si>
    <t>1995-05-25</t>
  </si>
  <si>
    <t>1995-04-26</t>
  </si>
  <si>
    <t>1995-04-24</t>
  </si>
  <si>
    <t>1995-03-06</t>
  </si>
  <si>
    <t>1995-01-30</t>
  </si>
  <si>
    <t>1995-01-13</t>
  </si>
  <si>
    <t>King Hussein &amp; PM Rabin agreed to speed up implementation of Peace Treaty, in particular the provision of 50 MCM to Jordan</t>
  </si>
  <si>
    <t>1994-11-17</t>
  </si>
  <si>
    <t>1994-11-14</t>
  </si>
  <si>
    <t>1994-10-27</t>
  </si>
  <si>
    <t>2000-10-11</t>
  </si>
  <si>
    <t>Jor Minister of Water Mohieddin announced immintent signing of an agreeement between Jordan, Israel, PA to set up a water resources research centre</t>
  </si>
  <si>
    <t>2000-04-25</t>
  </si>
  <si>
    <t>2000-02-10</t>
  </si>
  <si>
    <t>1999-08-26</t>
  </si>
  <si>
    <t>Jordan and Israel agree that Jordan will directly pump 1.5MCM from Yarmouk to ease shortages Aug-mid Oct. Water will be considered part of share allotted to Jordan from Israel</t>
  </si>
  <si>
    <t>1999-05-19</t>
  </si>
  <si>
    <t>1999-03-22</t>
  </si>
  <si>
    <t>1999-03-15</t>
  </si>
  <si>
    <t>1999-03-04</t>
  </si>
  <si>
    <t>1999-02-03</t>
  </si>
  <si>
    <t>1998-12-15</t>
  </si>
  <si>
    <t>1998-08-08</t>
  </si>
  <si>
    <t xml:space="preserve">Coalition of Jordan oppostition parties blamed the July water pollution on Israel, calling for peace treaty to be terminated. </t>
  </si>
  <si>
    <t>1998-08-04</t>
  </si>
  <si>
    <t>1998-03-08</t>
  </si>
  <si>
    <t>1997-11-01</t>
  </si>
  <si>
    <t>1997-05-08</t>
  </si>
  <si>
    <t>1997-05-06</t>
  </si>
  <si>
    <t xml:space="preserve">PM Netanyahu cancels bilateral memorial event in Jordan due to water-sharing dispute. In treaty Israel provides 50MCM. Sharon: offered to increase to 100MCM, was deemed insufficient by Jordan. </t>
  </si>
  <si>
    <t>2005-08-16</t>
  </si>
  <si>
    <t>2004-10-20</t>
  </si>
  <si>
    <t>2004-05-15</t>
  </si>
  <si>
    <t>2004-06-01</t>
  </si>
  <si>
    <t>2001-02-15</t>
  </si>
  <si>
    <t xml:space="preserve">Jor Information Minister al-Rifa'i: confident that Jordan-Israel bilateral water agreements will continue, even under right-wing Sharon government. </t>
  </si>
  <si>
    <t>International Conference on rehabilitating Lower Jordan River. Israel/Jordan/EU govt reps visited numerous sites in Israel/Jordan, discussed JORISR cooperation in water &amp; farming</t>
  </si>
  <si>
    <t>2010-10-25</t>
  </si>
  <si>
    <t>US provides $275M grant for water projects in Jordan - Clinton: Jordan is key partner in Israeli-Palestinian negotiations</t>
  </si>
  <si>
    <t>2008-12-15</t>
  </si>
  <si>
    <t>Jordan secures funds for the RSDS feasability study. 10.5M already raised, Sweden and South Korea covered the rest</t>
  </si>
  <si>
    <t>2007-02-28</t>
  </si>
  <si>
    <t>2001-08-14</t>
  </si>
  <si>
    <t>Jordan's water ministry launched international tender for Disi project. Also signed two agreements with German government for direct funding of water projects</t>
  </si>
  <si>
    <t>PM Netanyahu and King Abdullah meet in secret Aqaba summit to negotiate an end to breakdown in talks on water-sharing. Israel agrees as an interim measurement to supply Jordan with an additional 25-30 MCM per year</t>
  </si>
  <si>
    <t>Key Quotations</t>
  </si>
  <si>
    <t>RSDS Project</t>
  </si>
  <si>
    <t>Compliance/Contest Mechanism</t>
  </si>
  <si>
    <t>Compliance/Contest Justification</t>
  </si>
  <si>
    <t>BBC</t>
  </si>
  <si>
    <t>Globes</t>
  </si>
  <si>
    <t>Jordan Times</t>
  </si>
  <si>
    <t>Israel and Jordan publish a tender for RSDS project - bids to be accepted until March 2016. Israeli deputy PM Shalom: Proof of ISRJOR cooperation</t>
  </si>
  <si>
    <t>Jordan Times, Times of Israel</t>
  </si>
  <si>
    <t>Lucknow Sentinel,
US Fed News</t>
  </si>
  <si>
    <t>Jerusalem Post</t>
  </si>
  <si>
    <t>Asharq Al-Awsat</t>
  </si>
  <si>
    <t xml:space="preserve">Interview with Jordanian Water Minister Nasser: Emphasis on urgent need to fill water needs, Disi, RSDS, Sanitation. 30 MCM to Palestine, and that cooperation with Israel was necessary for the project, and they would pay full cost for water. </t>
  </si>
  <si>
    <t>"The Govt has launched a plan for the water issue spanning 2013-2020, aimed at improving the water sector to levels that will help realize the Kingdom's vision to make it almost infallible by 2020"
"Jordan constantly striving for complete economic development, as well as to provide adequate water supplies to its citizens, for there can be no prosperity without water. We are undertaking this project after having exhausted all other alternatives after the Disi Basin Project"
"The RSDS project is an entirely Jordanian one, and the Washington MoU guaranteed Jordan &amp; the Dead Sea would be taken care of. Jordan guaranteed 100 bn L, large quantities will flow to the Dead Sea, and 30 bn L will be for the Palestinians"
"As for the rumors that Israel will be provided with water, I assure you that any country that has a sea coastline must seek intl agreement before commencing any project. As for Israel being supplied with 50 bn L from Eilat, it will bear the entire cost"
"What is needed is a united Arab strategy to govern water, as it is one of the biggest problems faced by the Arab water sector"</t>
  </si>
  <si>
    <t>The water which Jordan will receive from Israel is the same water it has been receiving since 1994. It will come from Lake Tiberius and its quality will be better than water from the Jordan River or the King Abdullah Canal.</t>
  </si>
  <si>
    <t>BBC, Jordan Times</t>
  </si>
  <si>
    <t xml:space="preserve">
Nasser: Will help Jordan realize its national strategic interests and fulfill water needs for next decade
"We have been working around the clock over the past six months to reach this historical agreement, which will provide Jordan with its water needs at reasonable prices"
"The Kingdom's resilient efforts during the project's negotiations have resulted in securing Palestine with 30 MCM of freshwater
"This is a totally Jordanian project; all of its facilities will be constructed on Jordanian soil at a cost of $900M for the first phase"</t>
  </si>
  <si>
    <t xml:space="preserve">Jordan-hosted conference "Water Security: A Global Challenge". Attended by Jordan govt, aid orgs, UN agencies. 
Prince Hassan: There should be pan-Middle East cooperation on water, with Israel as a member dependent on a Palestinian solution
</t>
  </si>
  <si>
    <t>Water Minister Nasser: "Until now, Israel has not been a positive actor, they are blocking three projects, one of which is RSDS. We hope it will change, because otherwise the only way would be for the countries to request more financial aid to find alternative solutions"</t>
  </si>
  <si>
    <t xml:space="preserve">Water Minister Nasser: "(RSDS) Project is a strategic-national interest."
</t>
  </si>
  <si>
    <t xml:space="preserve">Jordanian writer reveals secret Jordanian-Israeli cooperation over agriculture/water issues, hundreds have trained at the Mashav centre in Israel. </t>
  </si>
  <si>
    <t xml:space="preserve"> Government downplays, claims it did not send people for training</t>
  </si>
  <si>
    <t>US Fed News</t>
  </si>
  <si>
    <t>Foreign Minister Judeh: "The program will positively touch the lives of so many Jordanians in many ways, for it addresses water scarcity, one of the gravest environmental challenges that we in Jordan face today. The Compact will fund projects that will improve water and sanitation services to more thatn a million inhabitants in densely populated cities within the Zarqa area"
"Not to mention our (US and Jordan) all-important partnership in so many key areas, not least of all the pursuit of peace and prosperity in our troubled region"</t>
  </si>
  <si>
    <t>2004-03-09</t>
  </si>
  <si>
    <t>Targeted News Service</t>
  </si>
  <si>
    <t>Joint desert science research center is initiated on the Israeli-Jordanian border</t>
  </si>
  <si>
    <t>1996-01-18</t>
  </si>
  <si>
    <t>An agreement is sealed on mutual cultural and scientific relations, allowing for Jordanian students to study for advanced degrees in Israeli universitites</t>
  </si>
  <si>
    <t xml:space="preserve">Jordan and Israel sign bilateral agreement ($800m) in Jordan outlining future water-sharing by desal in Aqaba and RSDS pipeline. Allocations to Jordan will be doubled in North in exchange for Jordanian water from Aqaba desal plant. Signed by Shalom and Nasser.  </t>
  </si>
  <si>
    <t>Jordanian official source reveals Israel and Jordan fail to reach an agreement on additional water supply from Sea of Galilee for the summer. Source: failure caused by major disagreements on Israeli side (Israel Beiteinu). Israel at first agreed to Jordanian request to increase daily water, but later denied that this water falls under the article on addtl water in Peace Treaty.</t>
  </si>
  <si>
    <t>Jordanian parliamentary committee chairman Shboul: "Israel pumped contaminated water from the Golan Heights to the King Abdullah Canal for five consecutive days before it was discovered by the Jordanian Authorities. The Jordanian government has not so far obtained an explanatino from the Israeli side for the reasons and type of pollution.</t>
  </si>
  <si>
    <t>Trend News Agency</t>
  </si>
  <si>
    <t>Xinhua News Agency</t>
  </si>
  <si>
    <t>Daily News Egypt</t>
  </si>
  <si>
    <t>Jordan PM Dahabi states that water is the top government priority, and the Disi and RSDS projects must be accelerated
Minister of Water Saud stated concerns on water scarcity, particularly the water deficit in the upcoming summer</t>
  </si>
  <si>
    <t>Jordan water ministry secretary general Oweis: the Disi and RSDS projects are "vital" to meet chronic shortages.</t>
  </si>
  <si>
    <t>Agence France Presse</t>
  </si>
  <si>
    <t>Reuters</t>
  </si>
  <si>
    <t>World Economic Forum on the Middle East in Jordan. Attended by Israelis. King Abdullah calls for post-Arab-Israeli Peace business plan, which will include solutions in water shortage, the environment, and investment in infrastructure.</t>
  </si>
  <si>
    <t>Greece announced contribution to RSDS project study - Minister of Planning Al-Ali thanked Greece as well as other donors - France, Netherlands, Japan, USA. Stressed importance of RSDS to solve Jordan's structural water shortage</t>
  </si>
  <si>
    <t>Mist News</t>
  </si>
  <si>
    <t>2007-01-25</t>
  </si>
  <si>
    <t>The Times</t>
  </si>
  <si>
    <t>2007-01-28</t>
  </si>
  <si>
    <t>King Abdullah delivers speech to World Economic Forum in Davos. Calls for regional peace in MidEast, and further cooperation on issues including water</t>
  </si>
  <si>
    <t>"There are opportunities in every sector: Cross-border partnerships that give both sides a stake in the future of peace, development and education, initiatives that engage young people, investments in economic growth and opportunity… professional exchanges that bring together experts to work on common concerns like health, water, the environment, and so much more."</t>
  </si>
  <si>
    <t>Officials from Jordan (Minister of Planing Al-Ali, Minister of Water Alim), Israel and PA  launch feasibility study for RSDS project. Phase 1: Pipeline, Phase 2: Desal and Power plant. Study to be financed by US, FR, NL, JP. Hosted by Jordanian Government</t>
  </si>
  <si>
    <t>Jordan Planning Minister Suhair Ali urged the intl community to chip in with the rest
Jordan Water minister: "this project is a unique chance to deepen the meaning of peace in the region and work for the benefit of our peoples</t>
  </si>
  <si>
    <t>Petra Conference in Jordan. PM Olmert attended as King Abdullah's guest. DPM Peres and King Abdullah agreed on several ventures, including renewed plans for RSDS, which will be used to supply joint projects along Jordan Valley (parks &amp; resorts)</t>
  </si>
  <si>
    <t>Ynet News</t>
  </si>
  <si>
    <t>IPR Strategic Information Database</t>
  </si>
  <si>
    <t>Jor PM Badran said Jordan is committed to implementing strategic water projects, particularly Disi and RSDS. These projects will help counter the expected increase in the country's water deficit for drinking and irrigation purposes in the coming years</t>
  </si>
  <si>
    <t>10 years after Peace Treaty, relations are still cold. CP of Jordan Senate Al-Majali, who led Jordan's negotiating team with Israel, gives interview</t>
  </si>
  <si>
    <t>VP of Senate Al-Majali: 
"It (the Peace Treaty) was the biggest service I did for my nation because I recovered its rights without any bloodshed"
Water sharing agreement of Peace treaty made Jordan  "formidable tool of political pressure on Israel, particularly on the international arena"</t>
  </si>
  <si>
    <t>Middle East Economic Digest</t>
  </si>
  <si>
    <t>Jordan sent details of the feasibility study agreement for the RSDS project to the World Bank, after having agreed on the terms with Israel and Palestine</t>
  </si>
  <si>
    <t>Water Minister el-Naser: "We proposed the terms of reference for the study and they were agreed by Israel and the Palestinians"</t>
  </si>
  <si>
    <t>World Economic Forum in Jordan: Jordan, Israel, PA agree on terms of reference for a feasibility study for RSDS</t>
  </si>
  <si>
    <t>2002-08-30</t>
  </si>
  <si>
    <t>Jordan Valley Authority head Alem confirms Israel and Jordan relaunched joint talks for the RSDS project in July 2002, following hiatus since September 2000</t>
  </si>
  <si>
    <t>Middle East and North Africa Today</t>
  </si>
  <si>
    <t>"We have an agreement with the Israelis that stipulates clearly our water rights per year. We are dealing with a state and with agreements, not with individuals that change their standpoint from time to time. We expect that the Israelis will abide completely with he agreement and that we take our full share of (lake) Tiberias during the time sipulated in the agreeement"</t>
  </si>
  <si>
    <t>King Abdullah &amp; PM Barak discussed bilateral water and trade in closed-door meeting. Jordan told Israel intentions to set up the Al-Wahdah Dam, while underscoring importance of Israeli-provided water to Jordan. Discussed potential future joint ventures, which will require feasibility studies</t>
  </si>
  <si>
    <t>Jordan (Environment Minister Khreishan) and Israel sign agreement to tackle environmental problems (including water), reviving a 1995 agreement that never took off for technical &amp; political reasons.</t>
  </si>
  <si>
    <t>Jordan Information Minister Al-Lawzi calls on PM-Elect Barak to push the peace process, and revive joint projects in transport, water.</t>
  </si>
  <si>
    <t xml:space="preserve">PM Rawabdeh rejected an Israeli proposal to cut Israeli water supplies by 40%. Rawabdeh govt rejected the plan as a violation of the Peace Treaty, Jordan will not accept a lower share under any circumstances.
</t>
  </si>
  <si>
    <t>Lower House of Jordanian Parliament statement: "Israeli move casts suspicion on the Middle East peace process as a whole. It's a violation of the fundamentals of the Peace Treaty and sheds doubts on Israeli commitments to the treaty.|</t>
  </si>
  <si>
    <t>1999-03-18</t>
  </si>
  <si>
    <t>Jordan Lower House of Parliament releases statement condemning Israeli plan to reduce water transfers to Jordan</t>
  </si>
  <si>
    <t xml:space="preserve">At meeting of Jordan-Israel Joint Water committee, Jordanian delegation rejects Israeli proposal to cut water supplies to Jordan due to drought. </t>
  </si>
  <si>
    <t xml:space="preserve">JVA head Mhasneh : "Water security was a tenet of the peace treaty, we don't accept a reduction by 1% of the water supply"
Senior official: The treaty established Jordan's water rights, which cannot be changed because of a drought in Israel
</t>
  </si>
  <si>
    <t>The Star</t>
  </si>
  <si>
    <t>Member of Lower House Faraneh: "Jordan reiterated its legitimate right to have 50 million cubic meters of water in 1999"
National Constitutional Party Spokesman Kheir:"King Abdullah's absense from the press conference that was supposed to be held with the Israeli Prime Minister was a vital indication to the monarch's discontent with (PM) Netanyahu"</t>
  </si>
  <si>
    <t>JVA Secretary-General Mahasnah: "Following our strong protest, Israel repaired the pipe and apologized for the incident"</t>
  </si>
  <si>
    <t>A leak of unpolluted water from a pipe near Eilat into Jordan was stopped after a 'strongly worded' Jordanian protest. Israel repaired the leak and apologized.
Officials said the leak did not affect local underground water resources, and tested samples proved it was uncontaminated</t>
  </si>
  <si>
    <t>FM Sharon delivers letter to Jordan Foreign Minister Khatib that Israel remains committed to water clauses in Peace Treaty. Was in response to Jordan's demand for an explanation for statements made by the Israeli Minister of Agriculture</t>
  </si>
  <si>
    <t>Statement from opposition coalition: "The polluted water coming from Lake Tiberias is a result of the Peace Treaty. Therefore, the coalition urges all local powers to unify their efforts to abrogate the treaty"</t>
  </si>
  <si>
    <t>Jordan's parliament: Agriculture &amp; Water committee reports that water pollution issue stems from water resources shared with Israel. The anti-Israel parliament and government favouring normalization of ties with Israel involved in tense dispute</t>
  </si>
  <si>
    <t>Infrastructure Min Sharon meets King Hussein, Prince Hassan, and Water Minister Haddadin to discuss restarting joint water project, put on hold last year</t>
  </si>
  <si>
    <t>Dow Jones International News</t>
  </si>
  <si>
    <t>Jordan Ministry of Water &amp; Irrigation invited donors to Petra to fund 61 possible projects - many of which involve Israeli cooperation. Projects included the Disi aquifer, the transfer of resources currently controlled by Israel through the so-called peace projects, dam building, and desalination. Also the rehabilitation of Jordan's household and irrigation networks, and the upgrading and expansion of wastewater treatment</t>
  </si>
  <si>
    <t>Water Ministery secretary-general Quteishat: "Bringing donors together was a chance to create a total awareness of the needs and set the grounds for co-ordination"
-Desalination has always been considered too expensive for Jordan, but the country is now forced to consider it. Quteishat pointed out that desal is the only area where research can actually reduce costs, while piped water will only become more expensive</t>
  </si>
  <si>
    <t>1997-08-07</t>
  </si>
  <si>
    <t>FM Tarawneh: Israel had rejected 'Jordan's requests' for 50 MCM of additional water in conformance with their peace treaty
Deputy FM Attaima: Jordan rejected an Israeli proposal for a joint desalination project 'with a financial contribution from Jordan'</t>
  </si>
  <si>
    <t xml:space="preserve">Foreign affairs committee meeting, Jordan Foreign Minister Tarawneh downplays tensions with Israel over a bilateral agreement over water sharing. Plans announced to hold future Jordan-Israel talks
</t>
  </si>
  <si>
    <t xml:space="preserve">Israel begins the supply of water to Jordan with opening of 3.5 km pipeline linking Galilee and KAC, cost Jordanian govt $5M to build. </t>
  </si>
  <si>
    <t>Water Minister Rsheidat: "This reperesents part of Jordan's share of water from the Yarmouk River. The pipeline was built quickly to help Jordan meet its growing water needs during the summer period"</t>
  </si>
  <si>
    <t>King Hussein: "Our dream is to see this valley become the valley of peace, to see the development of all its resources to the benefit of our peoples from the north to the extreme south, on the Gulf, on the Red Sea. Water is obviously one of the most important needs of human beings and for everything to do with them. It is our hope that these two rivers, Yarmuk and the Jordan, in terms of what is our water shared together, our right, that these resources will be utilized to the best possible degree in the future, that there will not be wastage of this precious resource, and that it will come to meet the needs of the region as it has already now. "</t>
  </si>
  <si>
    <t>King Husayn meets with PM Rabin and German Chancellor Kohl at summit meeting near Bakura, Jordan, to discuss joint water projects</t>
  </si>
  <si>
    <t>Agence France Presse, BBC</t>
  </si>
  <si>
    <t>Financial Times</t>
  </si>
  <si>
    <t xml:space="preserve">Munther Haddadin, Chairman of JVA: Reducing water use in agriculture is harder for Jordan, can't easily transition ppl from agriculture overnight. </t>
  </si>
  <si>
    <t>London conference on water issues, for the first time attended by Israeli, Jordanian, and Palestinians. Further discussions on the RSDS project idea, as well as well drilling</t>
  </si>
  <si>
    <t>1995-05-18</t>
  </si>
  <si>
    <t>Government announcement that Jordan and Israel have agreed to further joint studies on RSDS project possibilities</t>
  </si>
  <si>
    <t>1995-05-31</t>
  </si>
  <si>
    <t>Crown Prince Hassan: "My interest is basically to provide jobs. My interest is to provide participation opportunities for thousands of people who are looking to the return of the peace process. We are not talking here solely about business."</t>
  </si>
  <si>
    <t xml:space="preserve">Conference on joint development plans in Jordan Valley, including water, such as RSDS - no solid plans made, funding is key problem. </t>
  </si>
  <si>
    <t>CP Hassan and FM Peres suggest idea of a joint authority in rift valley at US-organized meeting on the development of the Rift Valley. The meeting covered areas of telecom, oil shale development, desalination, hydro-ower, and the RSDS project</t>
  </si>
  <si>
    <t>Crown Prince Hassan: "The master plan for coordination should be in place before we move to the MENA summit"
Placed the RSDS canal at the centre of development plans - Jordanians would like to see quick benefits from the Peace Treaty</t>
  </si>
  <si>
    <t>Interview with JWA secretary general Quteishat. He emphasized upcoming joint water projects with Israel, including NWC-KAC linkage and storage facilities on the Yarmouk and Jordan-Yarmouk confluence</t>
  </si>
  <si>
    <t>"We have not missed one (JWC) meeting since October"
"The (Adassiyeh) dam will make sure that Israel only receives 25 MCM of water a year and that Jordan has the rest"
"The reason for the co-operation in the water sector is that it was a major portion of the treaty with a specific time frame"</t>
  </si>
  <si>
    <t>"In light of Jordan's restoration of its water rights in the Yarmouk and Jordan Rivers, the government will give due attention to the task of developing and utilizing resources" 
"My Govt views the peace treaty with Israel as another step towards achieving peace through which we regained our sovereignty over our occupied lands and waters."</t>
  </si>
  <si>
    <t>PM Bin Shakir (JOR) gives policy address to parliament, discusses Jordan-Israel water collaboration</t>
  </si>
  <si>
    <t>Agence France-Presse</t>
  </si>
  <si>
    <t>1994-12-04</t>
  </si>
  <si>
    <t>EU-ME Partnership forum in Cairo- aim to forge closer business ties between Israel &amp; Arabs with EU support. Attended by Israel, Jordan, Palestine, several other Arab states. Meeting investigated regional integration mostly through tourism &amp; water</t>
  </si>
  <si>
    <t>King Hussein addresses nation on recent peace treaty with Israel</t>
  </si>
  <si>
    <t>It is a peace through which Jordan regained its complete sovereignty over its land that was occupied, a peace that restored to It its water rights from one of the parties involved in the water issue. Jordan hopes and works within the framwork of the attainment of comprehensive peace to regain all its rights to water"
"O free Jordanians: You have shouldered the responsibility towards your homeland and nation in accordance with the duty and sense of honour. You have struggled so that Jordan remains dignified and immortal... Its sons who participated in the arduous negotiations continued to defend its rights even until we, praise be to God, restored our full rights in land, water, and borders"</t>
  </si>
  <si>
    <t>"King Hussein's decision to share water resources with Israel and to accommodate the 2 small settlements in the Jordan Rift Valley demonstrates the seriousness of his intentions to forge a lasting peace with Israel"
"What is more important, in my opinion, is to start implementing the measures dealing with Jordan's regaining of its sovereign rights to the land and water"
"Through the water committee, Israel should start pumping the water agreed upon for the first stage, particularly from the Yarmouk River, as soon as possible"
"The Jordan Valley has witnessed little construction activity and is almost completely unexploited, this region has not been active. Now, however, this region has a chance to grow, it needs major infrastructure projects."- Biggest project, RSDS</t>
  </si>
  <si>
    <t>JOR information minister gives interview on Peace Treaty implementation</t>
  </si>
  <si>
    <t>New York Times</t>
  </si>
  <si>
    <t>Jordan, Israel sign peace treaty. Treaty text provided</t>
  </si>
  <si>
    <t>At the International Protecting Groundwater conference in Jordan, SecGen of the Jordan Valley Authority Abu Hammour: This is first regional peace project between the two countries after peace treaty, it can build the peace process, solve water shortage, save Dead Sea. We must continue despite stand-still in peace process
Abu Hammour: Would rather see pipeline than increased water released down Jordan River</t>
  </si>
  <si>
    <r>
      <t xml:space="preserve">It is a water project, it's not politics. The water project should not go to the level of politics'. </t>
    </r>
    <r>
      <rPr>
        <b/>
        <sz val="11"/>
        <color theme="1"/>
        <rFont val="Calibri"/>
        <family val="2"/>
        <scheme val="minor"/>
      </rPr>
      <t xml:space="preserve">
</t>
    </r>
    <r>
      <rPr>
        <sz val="11"/>
        <color theme="1"/>
        <rFont val="Calibri"/>
        <family val="2"/>
        <scheme val="minor"/>
      </rPr>
      <t>'We shouldn’t miss opportunities for any peace chances to improve among the three countries.' 
"It's very important for the people living in Palestine and Jordan to have water. As a Jordanian the only solution for us is desal"
"We need this water in the Northern Governate, we cannot dump it in the river. In the end it would go to the Dead Sea. We need the water to be treated and sent to the North"
"We are making very hard efforts through minister of water to have donors meeting, and the three countries would attend the donors meeting, to ask for financing the brine pipe"</t>
    </r>
  </si>
  <si>
    <t>Minister of Water Nasser gives interview: focus on benefits to Palestine and Jordan.  Reiterated that the project is a purely Jordanian scheme, built on Jordanian soil and run by the Government of Jordan</t>
  </si>
  <si>
    <t xml:space="preserve">Jordan PM Mansour announced water-swapping scheme as part of the RSDS project. Nasser: no need for new agreement with Israel for water-swap, all covered by Article 2 of Peace Treaty. Strategic national interest, cheaper water than Disi. </t>
  </si>
  <si>
    <t>Official source in Jordan govt reveals Jordan is negotiating with Israel over purchase of extra water for the summer. Reveals that Jordan purchased 2MCM last year</t>
  </si>
  <si>
    <t>PM Netanyahu and King Abdullah meet on bilateral economic &amp; water issues. Netanyahu makes controversial political statements on Iraq-Jordan relations</t>
  </si>
  <si>
    <t>Total</t>
  </si>
  <si>
    <t>1994-1999</t>
  </si>
  <si>
    <t>2000-2005</t>
  </si>
  <si>
    <t>2006-2010</t>
  </si>
  <si>
    <t>2011-2016</t>
  </si>
  <si>
    <t>Year</t>
  </si>
  <si>
    <t>Total Interactions</t>
  </si>
  <si>
    <t>Total Contest</t>
  </si>
  <si>
    <t>Total Compliance</t>
  </si>
  <si>
    <t>Contest</t>
  </si>
  <si>
    <t>Percent Coercive</t>
  </si>
  <si>
    <t>Percent Leverage</t>
  </si>
  <si>
    <t>Percent Transformative</t>
  </si>
  <si>
    <t>Percent Utilitarian</t>
  </si>
  <si>
    <t>Percent Normative</t>
  </si>
  <si>
    <t>Percent Ideological</t>
  </si>
  <si>
    <t>Contest % of Total</t>
  </si>
  <si>
    <t>Compliance % of Total</t>
  </si>
  <si>
    <t>Undefined % of Total</t>
  </si>
  <si>
    <t>Intl Conference</t>
  </si>
  <si>
    <t>Intl Support</t>
  </si>
  <si>
    <t>Water infrastructure projects equated with strategic Jordanian interests</t>
  </si>
  <si>
    <t>Water infrastructure equated with Jordanian strategic interests, rather than peace implementation</t>
  </si>
  <si>
    <t>In line with Peace Treaty's priority to create joint projects</t>
  </si>
  <si>
    <t>Exact date unclear: Jordan, Palestine, and several other Arab countries refuse to attend Jerusalem symposium on water management in arid and semi-arid areas, saying the conference was held 'in confiscated lands</t>
  </si>
  <si>
    <t>Jordan calling for future water agreements to be dependent on regional peace represents an alternative vision of water cooperation</t>
  </si>
  <si>
    <t>Unclear what was discussed or what happened at conference, need more information</t>
  </si>
  <si>
    <t>Global water conference, no evidence of counter-hegemony. Fits under normative mechanism</t>
  </si>
  <si>
    <t>Non-participation with Israel over water issues</t>
  </si>
  <si>
    <t>Very close call between compliance and contest, neutral value given</t>
  </si>
  <si>
    <t>Jordanian non-participation in water cooperation with Israel</t>
  </si>
  <si>
    <t>Not enough information provided on the conference</t>
  </si>
  <si>
    <t>Water conference in England: attended by Israeli and Jordanian representatives who spoke positively about RSDS project. Dr. Alami, water advisor to Prince Hassan bin Talal: While peace and water cooperation should ideally move forward simultaneously, Alami stressed how urgent the need to solve water scarcity in the region remains. Parties could get a win-win situation</t>
  </si>
  <si>
    <t>Prince bin Talal downplays Jordanian interest (peace), emphasizes regional scarcity and need to develop new water resources: Directly in-line with Israeli discourse of Regional Scarcity and Needs, Not Rights</t>
  </si>
  <si>
    <t>International conference, no evidence of contest</t>
  </si>
  <si>
    <t xml:space="preserve">Close call between contest and compliance: Emphasizing benefits to Jordan in jobs (contest),  joint projects to further peace with Israel (compliance w treaty). Neutral value given </t>
  </si>
  <si>
    <t>Mobilization of funds outside Israel, for some projects which don't include Israel. Contest</t>
  </si>
  <si>
    <t>Not enough information provided on tone/content of talks</t>
  </si>
  <si>
    <t>Mobilization of funds from Germany for project that doesn't involve Israel. Contest</t>
  </si>
  <si>
    <t>Mobilization of funds from outside source</t>
  </si>
  <si>
    <t>Mobilization of funds from US for projects which don't involve Israel</t>
  </si>
  <si>
    <t>Major treaty signed with water stipulations. Jordan had notable influence in its terms, but still reflection of hegemony (discussed earlier in paper)</t>
  </si>
  <si>
    <t>Only the vague idea was floated, without specific details. Leans toward compliance, but since there is no follow-up, neutral value given</t>
  </si>
  <si>
    <t>Jordanian official strongly emphasizing the stipulations of the Peace Treaty, which is a reflection of Israeli hydro-hegemony. Compliance</t>
  </si>
  <si>
    <t>RSDS project is described numerous times as a primarily Jordanian project fulfilling Jordanian interests, cooperative nature usually downplayed. Can therefore be seen as strategic collaboration, contest</t>
  </si>
  <si>
    <t>Not enough details provided of talks or their context</t>
  </si>
  <si>
    <t>Not enough information provided on what the terms of reference were, and whether they represented contest or compliance</t>
  </si>
  <si>
    <t>Not enough information provided</t>
  </si>
  <si>
    <t>Close call between contest and compliance: RSDS in general is strategic cooperation, but Water minister statement emphasizes treaty and compliance. Neutral value given</t>
  </si>
  <si>
    <t>Mobilization of funds by Jordan</t>
  </si>
  <si>
    <t>RSDS project described in terms of national-strategic interests, strategic collaboration</t>
  </si>
  <si>
    <t xml:space="preserve">Jordan holds water meeting without Israeli representation. Frames infrastructure (RSDS) projects as Jordanian projects being blocked by Israel, suggesting Jordan will proceed without Israel if needed. Alternative vision/agenda </t>
  </si>
  <si>
    <t>RSDS project framed in terms of national-strategic interests for Jordan and Palestine. Called a solely Jordanian project, downplaying any involvement with Israel or cooperation. Alternative discourse</t>
  </si>
  <si>
    <t>RSDS framed as a solely Jordanian scheme, for the national-strategic benefit of Jordan and Palestine. Alternative discourse</t>
  </si>
  <si>
    <t>Emphasis of RSDS project put on peace treaty, solving regional water shortages. Israel-Jordan water cooperation should continue despite Palestinian peace impasse. These fall in line with sanctioned Israeli discourse</t>
  </si>
  <si>
    <t>JORPAL PMs met, publicly stressed the importance of the RSDS project to boost water supply in JORPAL and protect the environment</t>
  </si>
  <si>
    <t>Mobilization of funds</t>
  </si>
  <si>
    <t>Emphasis on increasing water supply in Jordan/Palestine, no mention of rights. Israeli Needs, Not Rights discourse, Sanctioned Discourse</t>
  </si>
  <si>
    <t>Direct implementation and support of the Peace Treaty</t>
  </si>
  <si>
    <t>Speech directly in line with the stipulations and discourse of the Peace Treaty</t>
  </si>
  <si>
    <t>Agreement leading to the sharing of Israeli academic knowledge to Jordan, compliance</t>
  </si>
  <si>
    <t>Water management issue which was efficiently dealt with by both Israel and Jordan. Neutral in terms of hydrohegemony</t>
  </si>
  <si>
    <t>Water-related treaty</t>
  </si>
  <si>
    <t>Creation of joint water knowledge production and management - normative mechanism</t>
  </si>
  <si>
    <t xml:space="preserve">Not enough information provided </t>
  </si>
  <si>
    <t>Discourse of Peace Treaty as Jordan 'regaining its sovereign rights to the land and water'. Represents alternative discourse to Needs, Not Rights sanctioned discourse</t>
  </si>
  <si>
    <t>Jordanian requests to increase water supply, met with active stalling on the Israeli side. Tacit acceptance of this pending new negotiations - compliance with active stalling, coercive mechanism</t>
  </si>
  <si>
    <t>Discourse of Peace Treaty as Jordan regaining sovereignty over occupied land and water - alternative discourse</t>
  </si>
  <si>
    <t>Implementation of Peace Treaty, which favours Israeli hegemony</t>
  </si>
  <si>
    <t>Israel using active stalling in water-sharing negotiations. Jordan tacitly complies by seeking future negotiations</t>
  </si>
  <si>
    <t>Agreement following the model set by the Peace Treaty, which favours Israeli hegemony</t>
  </si>
  <si>
    <t>Not enough information</t>
  </si>
  <si>
    <t>Alternative knowledge provided regarding quality of water provided by Peace Treaty</t>
  </si>
  <si>
    <t>Jordan demanded clarification that Israel was committed to Peace Treaty, implying compliance to the existing order of hegemony</t>
  </si>
  <si>
    <t>Jordan emphasizing the stipulations of the Peace Treaty, implying compliance to the existing order of hegemony</t>
  </si>
  <si>
    <t>Agreement in line with Peace Treaty, implying complicance to the existing order of hegemony</t>
  </si>
  <si>
    <t>Cooperation over several aspects of the Peace Treaty, implying compliance to the existing order of hegemony</t>
  </si>
  <si>
    <t>Alternative discourse, that Peace Treaty was undertaken as a tool to restore Jordanian rights and increase leverage over Israel</t>
  </si>
  <si>
    <t>Not enough information over terms of negotiation</t>
  </si>
  <si>
    <t>Jordan emphasizing 'water rights' of the treaty, while in fact it only mentions 'rightful allocations', which is in line with Needs, Not Rights. Talking about rights represents alternative discourse</t>
  </si>
  <si>
    <t>Discourse of Peace Treaty as Jordan 'regaining its sovereign rights to the land and water'. Represents alternative discourse to Needs, Not Rights sanctioned discourse, which is represented in the Peace Treaty as 'rightful allocations'</t>
  </si>
  <si>
    <t>RSDS project is described numerous times as a primarily Jordanian project fulfilling Jordanian interests, cooperative nature usually downplayed. Can therefore be seen as strategic collaboration and a leverage mechanism</t>
  </si>
  <si>
    <t>Compliance</t>
  </si>
  <si>
    <t>N/A</t>
  </si>
  <si>
    <t>Contest - Coercive - Violence/Sabotage</t>
  </si>
  <si>
    <t>Contest - Coercive - Non-participation/Disobedience</t>
  </si>
  <si>
    <t>Contest- Coercive- Construction of Infrastructure</t>
  </si>
  <si>
    <t>Contest- Leverage- Strategic Collaboration</t>
  </si>
  <si>
    <t>Contest-Leverage- Alternative vision/agenda</t>
  </si>
  <si>
    <t>Contest- Leverage- Mobilization of Funds</t>
  </si>
  <si>
    <t>Contest- Transformative- Alternative Discourse</t>
  </si>
  <si>
    <t>Contest- Transformative- Alternative TBW Arrangements</t>
  </si>
  <si>
    <t>Contest- Transformative- Alternative Knowledge</t>
  </si>
  <si>
    <t>Compliance- Coercive- Military Force</t>
  </si>
  <si>
    <t>Compliance- Coercive- Threats of Force</t>
  </si>
  <si>
    <t>Compliance- Utilitarian- Political Rewards</t>
  </si>
  <si>
    <t>Compliance- Coercive- Active Stalling</t>
  </si>
  <si>
    <t>Compliance- Utilitarian-Finanical Rewards</t>
  </si>
  <si>
    <t>Compliance- Normative- Water Treaties</t>
  </si>
  <si>
    <t>Compliance- Normative- Water Management Rules</t>
  </si>
  <si>
    <t>Compliance- Normative- Global/Regional Water Conferences</t>
  </si>
  <si>
    <t>Compliance- Ideological- Sanctioned Discourse</t>
  </si>
  <si>
    <t>Contest- Coercion</t>
  </si>
  <si>
    <t>Contest- Leverage</t>
  </si>
  <si>
    <t>Contest- Transformative</t>
  </si>
  <si>
    <t>Compliance- Coercion</t>
  </si>
  <si>
    <t>Compliance- Utilitarian</t>
  </si>
  <si>
    <t>Compliance- Normative</t>
  </si>
  <si>
    <t>Compliance- Ideological</t>
  </si>
  <si>
    <t>ID
Number</t>
  </si>
  <si>
    <t>Jerusalem Times</t>
  </si>
  <si>
    <t>Lucknow Sentinel</t>
  </si>
  <si>
    <t>News Agency</t>
  </si>
  <si>
    <t>Number of Articles</t>
  </si>
  <si>
    <t>Times of 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</si>
</sst>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0" fillId="0" borderId="0" xfId="0" applyAlignment="1">
      <alignment wrapText="1"/>
    </xf>
    <xf numFmtId="49" fontId="0" fillId="0" borderId="0" xfId="0" applyNumberFormat="1"/>
    <xf numFmtId="49" fontId="0" fillId="0" borderId="0" xfId="0" applyNumberFormat="1" applyAlignment="1">
      <alignment horizontal="left"/>
    </xf>
    <xf numFmtId="0" fontId="0" fillId="0" borderId="0" xfId="0" applyAlignment="1">
      <alignment horizontal="left"/>
    </xf>
    <xf numFmtId="0" fontId="0" fillId="0" borderId="0" xfId="0" applyAlignment="1">
      <alignment horizontal="left" indent="1"/>
    </xf>
    <xf numFmtId="0" fontId="0" fillId="0" borderId="0" xfId="0" applyNumberFormat="1"/>
    <xf numFmtId="49" fontId="0" fillId="0" borderId="0" xfId="0" applyNumberFormat="1" applyFill="1"/>
    <xf numFmtId="2" fontId="0" fillId="0" borderId="0" xfId="0" applyNumberFormat="1"/>
    <xf numFmtId="0" fontId="0" fillId="0" borderId="0" xfId="0" applyBorder="1"/>
    <xf numFmtId="0" fontId="0" fillId="0" borderId="0" xfId="0" applyBorder="1" applyAlignment="1">
      <alignment horizontal="left"/>
    </xf>
    <xf numFmtId="0" fontId="0" fillId="0" borderId="0" xfId="0" quotePrefix="1" applyAlignment="1">
      <alignment wrapText="1"/>
    </xf>
    <xf numFmtId="0" fontId="1" fillId="2" borderId="1" xfId="0" applyFont="1" applyFill="1" applyBorder="1" applyAlignment="1">
      <alignment horizontal="center" wrapText="1"/>
    </xf>
    <xf numFmtId="0" fontId="0" fillId="0" borderId="0" xfId="0" applyAlignment="1">
      <alignment horizontal="center" wrapText="1"/>
    </xf>
    <xf numFmtId="49" fontId="1" fillId="2"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applyAlignment="1">
      <alignment horizontal="center"/>
    </xf>
    <xf numFmtId="0" fontId="1" fillId="2" borderId="2" xfId="0" applyFont="1" applyFill="1" applyBorder="1" applyAlignment="1">
      <alignment horizontal="center" wrapText="1"/>
    </xf>
    <xf numFmtId="0" fontId="0" fillId="0" borderId="1" xfId="0" applyBorder="1"/>
    <xf numFmtId="0" fontId="0" fillId="0" borderId="1" xfId="0" applyBorder="1" applyAlignment="1">
      <alignment wrapText="1"/>
    </xf>
    <xf numFmtId="0" fontId="0" fillId="0" borderId="0" xfId="0" applyBorder="1" applyAlignment="1">
      <alignment wrapText="1"/>
    </xf>
    <xf numFmtId="164" fontId="0" fillId="0" borderId="1" xfId="0" applyNumberFormat="1" applyBorder="1"/>
    <xf numFmtId="1" fontId="0" fillId="0" borderId="1" xfId="0" applyNumberFormat="1" applyBorder="1"/>
    <xf numFmtId="0" fontId="0" fillId="0" borderId="0" xfId="0" applyFill="1" applyBorder="1" applyAlignment="1">
      <alignment wrapText="1"/>
    </xf>
    <xf numFmtId="165" fontId="0" fillId="0" borderId="0" xfId="0" applyNumberFormat="1" applyBorder="1"/>
    <xf numFmtId="165" fontId="0" fillId="0" borderId="0" xfId="0" applyNumberFormat="1"/>
    <xf numFmtId="0" fontId="1" fillId="0" borderId="1" xfId="0" applyFont="1" applyBorder="1"/>
    <xf numFmtId="49" fontId="1" fillId="2" borderId="1" xfId="0" applyNumberFormat="1" applyFont="1" applyFill="1" applyBorder="1" applyAlignment="1">
      <alignment horizontal="center" wrapText="1"/>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CA"/>
              <a:t>Contest vs Compliance Over Time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'Overall Over Time'!$A$24</c:f>
              <c:strCache>
                <c:ptCount val="1"/>
                <c:pt idx="0">
                  <c:v>Total Contest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Time'!$B$24:$F$24</c:f>
              <c:numCache>
                <c:formatCode>General</c:formatCode>
                <c:ptCount val="5"/>
                <c:pt idx="0">
                  <c:v>30</c:v>
                </c:pt>
                <c:pt idx="1">
                  <c:v>8</c:v>
                </c:pt>
                <c:pt idx="2">
                  <c:v>3</c:v>
                </c:pt>
                <c:pt idx="3">
                  <c:v>8</c:v>
                </c:pt>
                <c:pt idx="4">
                  <c:v>11</c:v>
                </c:pt>
              </c:numCache>
            </c:numRef>
          </c:val>
          <c:extLst>
            <c:ext xmlns:c16="http://schemas.microsoft.com/office/drawing/2014/chart" uri="{C3380CC4-5D6E-409C-BE32-E72D297353CC}">
              <c16:uniqueId val="{00000000-E225-4E21-93E3-21DE1AC3C22D}"/>
            </c:ext>
          </c:extLst>
        </c:ser>
        <c:ser>
          <c:idx val="1"/>
          <c:order val="1"/>
          <c:tx>
            <c:strRef>
              <c:f>'Overall Over Time'!$A$25</c:f>
              <c:strCache>
                <c:ptCount val="1"/>
                <c:pt idx="0">
                  <c:v>Total Compliance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Time'!$B$25:$F$25</c:f>
              <c:numCache>
                <c:formatCode>General</c:formatCode>
                <c:ptCount val="5"/>
                <c:pt idx="0">
                  <c:v>29</c:v>
                </c:pt>
                <c:pt idx="1">
                  <c:v>16</c:v>
                </c:pt>
                <c:pt idx="2">
                  <c:v>5</c:v>
                </c:pt>
                <c:pt idx="3">
                  <c:v>2</c:v>
                </c:pt>
                <c:pt idx="4">
                  <c:v>6</c:v>
                </c:pt>
              </c:numCache>
            </c:numRef>
          </c:val>
          <c:extLst>
            <c:ext xmlns:c16="http://schemas.microsoft.com/office/drawing/2014/chart" uri="{C3380CC4-5D6E-409C-BE32-E72D297353CC}">
              <c16:uniqueId val="{00000001-E225-4E21-93E3-21DE1AC3C22D}"/>
            </c:ext>
          </c:extLst>
        </c:ser>
        <c:ser>
          <c:idx val="2"/>
          <c:order val="2"/>
          <c:tx>
            <c:v>Undefined</c:v>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'Overall Over Time'!$B$20:$F$20</c:f>
              <c:numCache>
                <c:formatCode>General</c:formatCode>
                <c:ptCount val="5"/>
                <c:pt idx="0">
                  <c:v>17</c:v>
                </c:pt>
                <c:pt idx="1">
                  <c:v>7</c:v>
                </c:pt>
                <c:pt idx="2">
                  <c:v>3</c:v>
                </c:pt>
                <c:pt idx="3">
                  <c:v>4</c:v>
                </c:pt>
                <c:pt idx="4">
                  <c:v>3</c:v>
                </c:pt>
              </c:numCache>
            </c:numRef>
          </c:val>
          <c:extLst>
            <c:ext xmlns:c16="http://schemas.microsoft.com/office/drawing/2014/chart" uri="{C3380CC4-5D6E-409C-BE32-E72D297353CC}">
              <c16:uniqueId val="{00000002-E225-4E21-93E3-21DE1AC3C22D}"/>
            </c:ext>
          </c:extLst>
        </c:ser>
        <c:dLbls>
          <c:showLegendKey val="0"/>
          <c:showVal val="0"/>
          <c:showCatName val="0"/>
          <c:showSerName val="0"/>
          <c:showPercent val="0"/>
          <c:showBubbleSize val="0"/>
        </c:dLbls>
        <c:gapWidth val="150"/>
        <c:overlap val="100"/>
        <c:axId val="343335504"/>
        <c:axId val="343330912"/>
      </c:barChart>
      <c:catAx>
        <c:axId val="343335504"/>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CA"/>
                  <a:t>Timespan</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330912"/>
        <c:crosses val="autoZero"/>
        <c:auto val="1"/>
        <c:lblAlgn val="ctr"/>
        <c:lblOffset val="100"/>
        <c:noMultiLvlLbl val="0"/>
      </c:catAx>
      <c:valAx>
        <c:axId val="343330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CA"/>
                  <a:t>Count of Interactions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333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Category'!$B$1</c:f>
              <c:strCache>
                <c:ptCount val="1"/>
                <c:pt idx="0">
                  <c:v>Infrastructure</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772-4FC7-B2B3-E679C5335DAA}"/>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772-4FC7-B2B3-E679C5335DAA}"/>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772-4FC7-B2B3-E679C5335DA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Category'!$B$2:$B$4</c:f>
              <c:numCache>
                <c:formatCode>General</c:formatCode>
                <c:ptCount val="3"/>
                <c:pt idx="0">
                  <c:v>5</c:v>
                </c:pt>
                <c:pt idx="1">
                  <c:v>1</c:v>
                </c:pt>
                <c:pt idx="2">
                  <c:v>2</c:v>
                </c:pt>
              </c:numCache>
            </c:numRef>
          </c:val>
          <c:extLst>
            <c:ext xmlns:c16="http://schemas.microsoft.com/office/drawing/2014/chart" uri="{C3380CC4-5D6E-409C-BE32-E72D297353CC}">
              <c16:uniqueId val="{00000000-6268-445D-AFBA-F8823541A63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Category'!$C$1</c:f>
              <c:strCache>
                <c:ptCount val="1"/>
                <c:pt idx="0">
                  <c:v>Intl Conference</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970-4B20-BB7A-BFE8685085E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970-4B20-BB7A-BFE8685085ED}"/>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970-4B20-BB7A-BFE8685085E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Category'!$C$2:$C$4</c:f>
              <c:numCache>
                <c:formatCode>General</c:formatCode>
                <c:ptCount val="3"/>
                <c:pt idx="0">
                  <c:v>3</c:v>
                </c:pt>
                <c:pt idx="1">
                  <c:v>4</c:v>
                </c:pt>
                <c:pt idx="2">
                  <c:v>3</c:v>
                </c:pt>
              </c:numCache>
            </c:numRef>
          </c:val>
          <c:extLst>
            <c:ext xmlns:c16="http://schemas.microsoft.com/office/drawing/2014/chart" uri="{C3380CC4-5D6E-409C-BE32-E72D297353CC}">
              <c16:uniqueId val="{00000000-C8E0-431F-8E00-0673F0493EE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Category'!$D$1</c:f>
              <c:strCache>
                <c:ptCount val="1"/>
                <c:pt idx="0">
                  <c:v>Intl Support</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2BF-46FF-9C59-85A794B2F440}"/>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2BF-46FF-9C59-85A794B2F440}"/>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C2BF-46FF-9C59-85A794B2F4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Category'!$D$2:$D$4</c:f>
              <c:numCache>
                <c:formatCode>General</c:formatCode>
                <c:ptCount val="3"/>
                <c:pt idx="0">
                  <c:v>2</c:v>
                </c:pt>
                <c:pt idx="1">
                  <c:v>0</c:v>
                </c:pt>
                <c:pt idx="2">
                  <c:v>0</c:v>
                </c:pt>
              </c:numCache>
            </c:numRef>
          </c:val>
          <c:extLst>
            <c:ext xmlns:c16="http://schemas.microsoft.com/office/drawing/2014/chart" uri="{C3380CC4-5D6E-409C-BE32-E72D297353CC}">
              <c16:uniqueId val="{00000000-8795-40D1-ABD4-90650C0D12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Category'!$F$1</c:f>
              <c:strCache>
                <c:ptCount val="1"/>
                <c:pt idx="0">
                  <c:v>RSDS Project</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53E-4A5E-AD03-86DCBE94804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B53E-4A5E-AD03-86DCBE94804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B53E-4A5E-AD03-86DCBE9480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Category'!$F$2:$F$4</c:f>
              <c:numCache>
                <c:formatCode>General</c:formatCode>
                <c:ptCount val="3"/>
                <c:pt idx="0">
                  <c:v>12</c:v>
                </c:pt>
                <c:pt idx="1">
                  <c:v>2</c:v>
                </c:pt>
                <c:pt idx="2">
                  <c:v>6</c:v>
                </c:pt>
              </c:numCache>
            </c:numRef>
          </c:val>
          <c:extLst>
            <c:ext xmlns:c16="http://schemas.microsoft.com/office/drawing/2014/chart" uri="{C3380CC4-5D6E-409C-BE32-E72D297353CC}">
              <c16:uniqueId val="{00000000-9D00-42FC-8BE2-80AC797DA49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Category'!$G$1</c:f>
              <c:strCache>
                <c:ptCount val="1"/>
                <c:pt idx="0">
                  <c:v>Technical Cooperation</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957-4571-987E-73EF2C897729}"/>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B957-4571-987E-73EF2C897729}"/>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B957-4571-987E-73EF2C89772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Category'!$G$2:$G$4</c:f>
              <c:numCache>
                <c:formatCode>General</c:formatCode>
                <c:ptCount val="3"/>
                <c:pt idx="0">
                  <c:v>0</c:v>
                </c:pt>
                <c:pt idx="1">
                  <c:v>7</c:v>
                </c:pt>
                <c:pt idx="2">
                  <c:v>2</c:v>
                </c:pt>
              </c:numCache>
            </c:numRef>
          </c:val>
          <c:extLst>
            <c:ext xmlns:c16="http://schemas.microsoft.com/office/drawing/2014/chart" uri="{C3380CC4-5D6E-409C-BE32-E72D297353CC}">
              <c16:uniqueId val="{00000000-BD94-4F91-BEA1-4477F3833F3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'Contest-Compliance by Category'!$H$1</c:f>
              <c:strCache>
                <c:ptCount val="1"/>
                <c:pt idx="0">
                  <c:v>Water Sharing Agreement</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079E-4B2E-B1CF-11A3C33BFF9E}"/>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079E-4B2E-B1CF-11A3C33BFF9E}"/>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079E-4B2E-B1CF-11A3C33BFF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'Contest-Compliance by Category'!$A$2:$A$4</c:f>
              <c:strCache>
                <c:ptCount val="3"/>
                <c:pt idx="0">
                  <c:v>Contest</c:v>
                </c:pt>
                <c:pt idx="1">
                  <c:v>Compliance</c:v>
                </c:pt>
                <c:pt idx="2">
                  <c:v>N/A</c:v>
                </c:pt>
              </c:strCache>
            </c:strRef>
          </c:cat>
          <c:val>
            <c:numRef>
              <c:f>'Contest-Compliance by Category'!$H$2:$H$4</c:f>
              <c:numCache>
                <c:formatCode>General</c:formatCode>
                <c:ptCount val="3"/>
                <c:pt idx="0">
                  <c:v>8</c:v>
                </c:pt>
                <c:pt idx="1">
                  <c:v>13</c:v>
                </c:pt>
                <c:pt idx="2">
                  <c:v>3</c:v>
                </c:pt>
              </c:numCache>
            </c:numRef>
          </c:val>
          <c:extLst>
            <c:ext xmlns:c16="http://schemas.microsoft.com/office/drawing/2014/chart" uri="{C3380CC4-5D6E-409C-BE32-E72D297353CC}">
              <c16:uniqueId val="{00000000-60EB-43FD-A3B4-E31A7CF9E53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Contest Mechanisms</a:t>
            </a:r>
            <a:r>
              <a:rPr lang="en-CA" baseline="0"/>
              <a:t> Over Time</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'Overall Over Time'!$A$31</c:f>
              <c:strCache>
                <c:ptCount val="1"/>
                <c:pt idx="0">
                  <c:v>Percent Coercive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Time'!$B$31:$F$31</c:f>
              <c:numCache>
                <c:formatCode>0</c:formatCode>
                <c:ptCount val="5"/>
                <c:pt idx="0" formatCode="0.0">
                  <c:v>6.666666666666667</c:v>
                </c:pt>
                <c:pt idx="1">
                  <c:v>12.5</c:v>
                </c:pt>
                <c:pt idx="2" formatCode="0.0">
                  <c:v>0</c:v>
                </c:pt>
                <c:pt idx="3" formatCode="0.0">
                  <c:v>12.5</c:v>
                </c:pt>
                <c:pt idx="4">
                  <c:v>0</c:v>
                </c:pt>
              </c:numCache>
            </c:numRef>
          </c:val>
          <c:extLst>
            <c:ext xmlns:c16="http://schemas.microsoft.com/office/drawing/2014/chart" uri="{C3380CC4-5D6E-409C-BE32-E72D297353CC}">
              <c16:uniqueId val="{00000000-B8F8-4436-B409-DC0B3DFCE3D6}"/>
            </c:ext>
          </c:extLst>
        </c:ser>
        <c:ser>
          <c:idx val="1"/>
          <c:order val="1"/>
          <c:tx>
            <c:strRef>
              <c:f>'Overall Over Time'!$A$32</c:f>
              <c:strCache>
                <c:ptCount val="1"/>
                <c:pt idx="0">
                  <c:v>Percent Leverage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Time'!$B$32:$F$32</c:f>
              <c:numCache>
                <c:formatCode>0</c:formatCode>
                <c:ptCount val="5"/>
                <c:pt idx="0" formatCode="0.0">
                  <c:v>56.666666666666664</c:v>
                </c:pt>
                <c:pt idx="1">
                  <c:v>25</c:v>
                </c:pt>
                <c:pt idx="2" formatCode="0.0">
                  <c:v>66.666666666666657</c:v>
                </c:pt>
                <c:pt idx="3" formatCode="0.0">
                  <c:v>75</c:v>
                </c:pt>
                <c:pt idx="4">
                  <c:v>63.636363636363633</c:v>
                </c:pt>
              </c:numCache>
            </c:numRef>
          </c:val>
          <c:extLst>
            <c:ext xmlns:c16="http://schemas.microsoft.com/office/drawing/2014/chart" uri="{C3380CC4-5D6E-409C-BE32-E72D297353CC}">
              <c16:uniqueId val="{00000001-B8F8-4436-B409-DC0B3DFCE3D6}"/>
            </c:ext>
          </c:extLst>
        </c:ser>
        <c:ser>
          <c:idx val="2"/>
          <c:order val="2"/>
          <c:tx>
            <c:strRef>
              <c:f>'Overall Over Time'!$A$33</c:f>
              <c:strCache>
                <c:ptCount val="1"/>
                <c:pt idx="0">
                  <c:v>Percent Transformative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Time'!$B$33:$F$33</c:f>
              <c:numCache>
                <c:formatCode>0</c:formatCode>
                <c:ptCount val="5"/>
                <c:pt idx="0" formatCode="0.0">
                  <c:v>36.666666666666664</c:v>
                </c:pt>
                <c:pt idx="1">
                  <c:v>62.5</c:v>
                </c:pt>
                <c:pt idx="2" formatCode="0.0">
                  <c:v>33.333333333333329</c:v>
                </c:pt>
                <c:pt idx="3">
                  <c:v>12.5</c:v>
                </c:pt>
                <c:pt idx="4">
                  <c:v>36.363636363636367</c:v>
                </c:pt>
              </c:numCache>
            </c:numRef>
          </c:val>
          <c:extLst>
            <c:ext xmlns:c16="http://schemas.microsoft.com/office/drawing/2014/chart" uri="{C3380CC4-5D6E-409C-BE32-E72D297353CC}">
              <c16:uniqueId val="{00000002-B8F8-4436-B409-DC0B3DFCE3D6}"/>
            </c:ext>
          </c:extLst>
        </c:ser>
        <c:dLbls>
          <c:showLegendKey val="0"/>
          <c:showVal val="0"/>
          <c:showCatName val="0"/>
          <c:showSerName val="0"/>
          <c:showPercent val="0"/>
          <c:showBubbleSize val="0"/>
        </c:dLbls>
        <c:gapWidth val="150"/>
        <c:overlap val="100"/>
        <c:axId val="553469704"/>
        <c:axId val="553470032"/>
      </c:barChart>
      <c:catAx>
        <c:axId val="5534697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Years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470032"/>
        <c:crosses val="autoZero"/>
        <c:auto val="1"/>
        <c:lblAlgn val="ctr"/>
        <c:lblOffset val="100"/>
        <c:noMultiLvlLbl val="0"/>
      </c:catAx>
      <c:valAx>
        <c:axId val="553470032"/>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a:t>
                </a:r>
                <a:r>
                  <a:rPr lang="en-CA" baseline="0"/>
                  <a:t> of Total Contest Mechanisms Used</a:t>
                </a:r>
                <a:endParaRPr lang="en-CA"/>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3469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Compliance Type</a:t>
            </a:r>
            <a:r>
              <a:rPr lang="en-CA" baseline="0"/>
              <a:t> Over Time</a:t>
            </a: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'Overall Over Time'!$A$37</c:f>
              <c:strCache>
                <c:ptCount val="1"/>
                <c:pt idx="0">
                  <c:v>Percent Coercive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Time'!$B$37:$F$37</c:f>
              <c:numCache>
                <c:formatCode>0</c:formatCode>
                <c:ptCount val="5"/>
                <c:pt idx="0" formatCode="0.0">
                  <c:v>6.8965517241379306</c:v>
                </c:pt>
                <c:pt idx="1">
                  <c:v>6.25</c:v>
                </c:pt>
                <c:pt idx="2">
                  <c:v>0</c:v>
                </c:pt>
                <c:pt idx="3">
                  <c:v>50</c:v>
                </c:pt>
                <c:pt idx="4">
                  <c:v>0</c:v>
                </c:pt>
              </c:numCache>
            </c:numRef>
          </c:val>
          <c:extLst>
            <c:ext xmlns:c16="http://schemas.microsoft.com/office/drawing/2014/chart" uri="{C3380CC4-5D6E-409C-BE32-E72D297353CC}">
              <c16:uniqueId val="{00000000-E70E-45D6-B414-93F037314C2A}"/>
            </c:ext>
          </c:extLst>
        </c:ser>
        <c:ser>
          <c:idx val="1"/>
          <c:order val="1"/>
          <c:tx>
            <c:strRef>
              <c:f>'Overall Over Time'!$A$38</c:f>
              <c:strCache>
                <c:ptCount val="1"/>
                <c:pt idx="0">
                  <c:v>Percent Utilitarian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Time'!$B$38:$F$38</c:f>
              <c:numCache>
                <c:formatCode>0</c:formatCode>
                <c:ptCount val="5"/>
                <c:pt idx="0" formatCode="0.0">
                  <c:v>0</c:v>
                </c:pt>
                <c:pt idx="1">
                  <c:v>0</c:v>
                </c:pt>
                <c:pt idx="2">
                  <c:v>0</c:v>
                </c:pt>
                <c:pt idx="3">
                  <c:v>0</c:v>
                </c:pt>
                <c:pt idx="4" formatCode="0.0">
                  <c:v>0</c:v>
                </c:pt>
              </c:numCache>
            </c:numRef>
          </c:val>
          <c:extLst>
            <c:ext xmlns:c16="http://schemas.microsoft.com/office/drawing/2014/chart" uri="{C3380CC4-5D6E-409C-BE32-E72D297353CC}">
              <c16:uniqueId val="{00000001-E70E-45D6-B414-93F037314C2A}"/>
            </c:ext>
          </c:extLst>
        </c:ser>
        <c:ser>
          <c:idx val="2"/>
          <c:order val="2"/>
          <c:tx>
            <c:strRef>
              <c:f>'Overall Over Time'!$A$39</c:f>
              <c:strCache>
                <c:ptCount val="1"/>
                <c:pt idx="0">
                  <c:v>Percent Normative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Time'!$B$39:$F$39</c:f>
              <c:numCache>
                <c:formatCode>0.0</c:formatCode>
                <c:ptCount val="5"/>
                <c:pt idx="0">
                  <c:v>82.758620689655174</c:v>
                </c:pt>
                <c:pt idx="1">
                  <c:v>93.75</c:v>
                </c:pt>
                <c:pt idx="2" formatCode="0">
                  <c:v>100</c:v>
                </c:pt>
                <c:pt idx="3" formatCode="0">
                  <c:v>50</c:v>
                </c:pt>
                <c:pt idx="4">
                  <c:v>50</c:v>
                </c:pt>
              </c:numCache>
            </c:numRef>
          </c:val>
          <c:extLst>
            <c:ext xmlns:c16="http://schemas.microsoft.com/office/drawing/2014/chart" uri="{C3380CC4-5D6E-409C-BE32-E72D297353CC}">
              <c16:uniqueId val="{00000002-E70E-45D6-B414-93F037314C2A}"/>
            </c:ext>
          </c:extLst>
        </c:ser>
        <c:ser>
          <c:idx val="3"/>
          <c:order val="3"/>
          <c:tx>
            <c:strRef>
              <c:f>'Overall Over Time'!$A$40</c:f>
              <c:strCache>
                <c:ptCount val="1"/>
                <c:pt idx="0">
                  <c:v>Percent Ideological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Time'!$B$40:$F$40</c:f>
              <c:numCache>
                <c:formatCode>0.0</c:formatCode>
                <c:ptCount val="5"/>
                <c:pt idx="0">
                  <c:v>10.344827586206897</c:v>
                </c:pt>
                <c:pt idx="1">
                  <c:v>0</c:v>
                </c:pt>
                <c:pt idx="2" formatCode="0">
                  <c:v>0</c:v>
                </c:pt>
                <c:pt idx="3" formatCode="0">
                  <c:v>0</c:v>
                </c:pt>
                <c:pt idx="4">
                  <c:v>50</c:v>
                </c:pt>
              </c:numCache>
            </c:numRef>
          </c:val>
          <c:extLst>
            <c:ext xmlns:c16="http://schemas.microsoft.com/office/drawing/2014/chart" uri="{C3380CC4-5D6E-409C-BE32-E72D297353CC}">
              <c16:uniqueId val="{00000003-E70E-45D6-B414-93F037314C2A}"/>
            </c:ext>
          </c:extLst>
        </c:ser>
        <c:dLbls>
          <c:showLegendKey val="0"/>
          <c:showVal val="0"/>
          <c:showCatName val="0"/>
          <c:showSerName val="0"/>
          <c:showPercent val="0"/>
          <c:showBubbleSize val="0"/>
        </c:dLbls>
        <c:gapWidth val="150"/>
        <c:overlap val="100"/>
        <c:axId val="462584792"/>
        <c:axId val="462585120"/>
      </c:barChart>
      <c:catAx>
        <c:axId val="462584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585120"/>
        <c:crosses val="autoZero"/>
        <c:auto val="1"/>
        <c:lblAlgn val="ctr"/>
        <c:lblOffset val="100"/>
        <c:noMultiLvlLbl val="0"/>
      </c:catAx>
      <c:valAx>
        <c:axId val="462585120"/>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2584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CA"/>
              <a:t>Contest and Compliance Over Time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'Overall Over Time'!$A$26</c:f>
              <c:strCache>
                <c:ptCount val="1"/>
                <c:pt idx="0">
                  <c:v>Contest % of 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Time'!$B$26:$F$26</c:f>
              <c:numCache>
                <c:formatCode>0.0%</c:formatCode>
                <c:ptCount val="5"/>
                <c:pt idx="0">
                  <c:v>0.39473684210526316</c:v>
                </c:pt>
                <c:pt idx="1">
                  <c:v>0.25806451612903225</c:v>
                </c:pt>
                <c:pt idx="2">
                  <c:v>0.27272727272727271</c:v>
                </c:pt>
                <c:pt idx="3">
                  <c:v>0.5714285714285714</c:v>
                </c:pt>
                <c:pt idx="4">
                  <c:v>0.55000000000000004</c:v>
                </c:pt>
              </c:numCache>
            </c:numRef>
          </c:val>
          <c:extLst>
            <c:ext xmlns:c16="http://schemas.microsoft.com/office/drawing/2014/chart" uri="{C3380CC4-5D6E-409C-BE32-E72D297353CC}">
              <c16:uniqueId val="{00000000-0731-495B-8A5C-5050E1B0F088}"/>
            </c:ext>
          </c:extLst>
        </c:ser>
        <c:ser>
          <c:idx val="1"/>
          <c:order val="1"/>
          <c:tx>
            <c:strRef>
              <c:f>'Overall Over Time'!$A$27</c:f>
              <c:strCache>
                <c:ptCount val="1"/>
                <c:pt idx="0">
                  <c:v>Compliance % of Total</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Time'!$B$27:$F$27</c:f>
              <c:numCache>
                <c:formatCode>0.0%</c:formatCode>
                <c:ptCount val="5"/>
                <c:pt idx="0">
                  <c:v>0.38157894736842107</c:v>
                </c:pt>
                <c:pt idx="1">
                  <c:v>0.5161290322580645</c:v>
                </c:pt>
                <c:pt idx="2">
                  <c:v>0.45454545454545453</c:v>
                </c:pt>
                <c:pt idx="3">
                  <c:v>0.14285714285714285</c:v>
                </c:pt>
                <c:pt idx="4">
                  <c:v>0.3</c:v>
                </c:pt>
              </c:numCache>
            </c:numRef>
          </c:val>
          <c:extLst>
            <c:ext xmlns:c16="http://schemas.microsoft.com/office/drawing/2014/chart" uri="{C3380CC4-5D6E-409C-BE32-E72D297353CC}">
              <c16:uniqueId val="{00000001-0731-495B-8A5C-5050E1B0F088}"/>
            </c:ext>
          </c:extLst>
        </c:ser>
        <c:ser>
          <c:idx val="2"/>
          <c:order val="2"/>
          <c:tx>
            <c:strRef>
              <c:f>'Overall Over Time'!$A$28</c:f>
              <c:strCache>
                <c:ptCount val="1"/>
                <c:pt idx="0">
                  <c:v>Undefined % of Total</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'Overall Over Time'!$B$1:$F$1</c:f>
              <c:strCache>
                <c:ptCount val="5"/>
                <c:pt idx="0">
                  <c:v>Total</c:v>
                </c:pt>
                <c:pt idx="1">
                  <c:v>1994-1999</c:v>
                </c:pt>
                <c:pt idx="2">
                  <c:v>2000-2005</c:v>
                </c:pt>
                <c:pt idx="3">
                  <c:v>2006-2010</c:v>
                </c:pt>
                <c:pt idx="4">
                  <c:v>2011-2016</c:v>
                </c:pt>
              </c:strCache>
            </c:strRef>
          </c:cat>
          <c:val>
            <c:numRef>
              <c:f>'Overall Over Time'!$B$28:$F$28</c:f>
              <c:numCache>
                <c:formatCode>0.0%</c:formatCode>
                <c:ptCount val="5"/>
                <c:pt idx="0">
                  <c:v>0.22368421052631579</c:v>
                </c:pt>
                <c:pt idx="1">
                  <c:v>0.22580645161290322</c:v>
                </c:pt>
                <c:pt idx="2">
                  <c:v>0.27272727272727271</c:v>
                </c:pt>
                <c:pt idx="3">
                  <c:v>0.2857142857142857</c:v>
                </c:pt>
                <c:pt idx="4">
                  <c:v>0.15</c:v>
                </c:pt>
              </c:numCache>
            </c:numRef>
          </c:val>
          <c:extLst>
            <c:ext xmlns:c16="http://schemas.microsoft.com/office/drawing/2014/chart" uri="{C3380CC4-5D6E-409C-BE32-E72D297353CC}">
              <c16:uniqueId val="{00000002-0731-495B-8A5C-5050E1B0F088}"/>
            </c:ext>
          </c:extLst>
        </c:ser>
        <c:dLbls>
          <c:showLegendKey val="0"/>
          <c:showVal val="0"/>
          <c:showCatName val="0"/>
          <c:showSerName val="0"/>
          <c:showPercent val="0"/>
          <c:showBubbleSize val="0"/>
        </c:dLbls>
        <c:gapWidth val="150"/>
        <c:overlap val="100"/>
        <c:axId val="577245912"/>
        <c:axId val="577239024"/>
      </c:barChart>
      <c:catAx>
        <c:axId val="5772459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239024"/>
        <c:crosses val="autoZero"/>
        <c:auto val="1"/>
        <c:lblAlgn val="ctr"/>
        <c:lblOffset val="100"/>
        <c:noMultiLvlLbl val="0"/>
      </c:catAx>
      <c:valAx>
        <c:axId val="5772390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7245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Infrastructure</a:t>
            </a:r>
          </a:p>
          <a:p>
            <a:pPr>
              <a:defRPr/>
            </a:pPr>
            <a:endParaRPr lang="en-CA"/>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139-4357-AE61-2529538C644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139-4357-AE61-2529538C644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0139-4357-AE61-2529538C644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('Mechanism by Category'!$A$3,'Mechanism by Category'!$A$7,'Mechanism by Category'!$A$9)</c:f>
              <c:strCache>
                <c:ptCount val="3"/>
                <c:pt idx="0">
                  <c:v>Contest- Leverage</c:v>
                </c:pt>
                <c:pt idx="1">
                  <c:v>Compliance- Normative</c:v>
                </c:pt>
                <c:pt idx="2">
                  <c:v>N/A</c:v>
                </c:pt>
              </c:strCache>
            </c:strRef>
          </c:cat>
          <c:val>
            <c:numRef>
              <c:f>('Mechanism by Category'!$B$3,'Mechanism by Category'!$B$7,'Mechanism by Category'!$B$9)</c:f>
              <c:numCache>
                <c:formatCode>General</c:formatCode>
                <c:ptCount val="3"/>
                <c:pt idx="0">
                  <c:v>5</c:v>
                </c:pt>
                <c:pt idx="1">
                  <c:v>1</c:v>
                </c:pt>
                <c:pt idx="2">
                  <c:v>2</c:v>
                </c:pt>
              </c:numCache>
            </c:numRef>
          </c:val>
          <c:extLst>
            <c:ext xmlns:c16="http://schemas.microsoft.com/office/drawing/2014/chart" uri="{C3380CC4-5D6E-409C-BE32-E72D297353CC}">
              <c16:uniqueId val="{00000000-9199-4B95-8C1D-8F0B5444A15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RSDS Project Interactions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660-465B-B889-15FD97EA2AC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660-465B-B889-15FD97EA2AC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660-465B-B889-15FD97EA2AC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660-465B-B889-15FD97EA2AC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('Mechanism by Category'!$A$3,'Mechanism by Category'!$A$4,'Mechanism by Category'!$A$8,'Mechanism by Category'!$A$9)</c:f>
              <c:strCache>
                <c:ptCount val="4"/>
                <c:pt idx="0">
                  <c:v>Contest- Leverage</c:v>
                </c:pt>
                <c:pt idx="1">
                  <c:v>Contest- Transformative</c:v>
                </c:pt>
                <c:pt idx="2">
                  <c:v>Compliance- Ideological</c:v>
                </c:pt>
                <c:pt idx="3">
                  <c:v>N/A</c:v>
                </c:pt>
              </c:strCache>
            </c:strRef>
          </c:cat>
          <c:val>
            <c:numRef>
              <c:f>('Mechanism by Category'!$F$3,'Mechanism by Category'!$F$4,'Mechanism by Category'!$F$8,'Mechanism by Category'!$F$9)</c:f>
              <c:numCache>
                <c:formatCode>General</c:formatCode>
                <c:ptCount val="4"/>
                <c:pt idx="0">
                  <c:v>9</c:v>
                </c:pt>
                <c:pt idx="1">
                  <c:v>3</c:v>
                </c:pt>
                <c:pt idx="2">
                  <c:v>2</c:v>
                </c:pt>
                <c:pt idx="3">
                  <c:v>6</c:v>
                </c:pt>
              </c:numCache>
            </c:numRef>
          </c:val>
          <c:extLst>
            <c:ext xmlns:c16="http://schemas.microsoft.com/office/drawing/2014/chart" uri="{C3380CC4-5D6E-409C-BE32-E72D297353CC}">
              <c16:uniqueId val="{00000000-D88F-4BCC-9F3F-83CA811840F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International Conference</a:t>
            </a:r>
            <a:r>
              <a:rPr lang="en-CA" baseline="0"/>
              <a:t> Interactions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ED0-4E5E-B2B7-D85295BF77B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ED0-4E5E-B2B7-D85295BF77B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ED0-4E5E-B2B7-D85295BF77B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ED0-4E5E-B2B7-D85295BF77B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ED0-4E5E-B2B7-D85295BF77B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('Mechanism by Category'!$A$2,'Mechanism by Category'!$A$3,'Mechanism by Category'!$A$7,'Mechanism by Category'!$A$8,'Mechanism by Category'!$A$9)</c:f>
              <c:strCache>
                <c:ptCount val="5"/>
                <c:pt idx="0">
                  <c:v>Contest- Coercion</c:v>
                </c:pt>
                <c:pt idx="1">
                  <c:v>Contest- Leverage</c:v>
                </c:pt>
                <c:pt idx="2">
                  <c:v>Compliance- Normative</c:v>
                </c:pt>
                <c:pt idx="3">
                  <c:v>Compliance- Ideological</c:v>
                </c:pt>
                <c:pt idx="4">
                  <c:v>N/A</c:v>
                </c:pt>
              </c:strCache>
            </c:strRef>
          </c:cat>
          <c:val>
            <c:numRef>
              <c:f>('Mechanism by Category'!$C$2,'Mechanism by Category'!$C$3,'Mechanism by Category'!$C$7,'Mechanism by Category'!$C$8,'Mechanism by Category'!$C$9)</c:f>
              <c:numCache>
                <c:formatCode>General</c:formatCode>
                <c:ptCount val="5"/>
                <c:pt idx="0">
                  <c:v>2</c:v>
                </c:pt>
                <c:pt idx="1">
                  <c:v>1</c:v>
                </c:pt>
                <c:pt idx="2">
                  <c:v>3</c:v>
                </c:pt>
                <c:pt idx="3">
                  <c:v>1</c:v>
                </c:pt>
                <c:pt idx="4">
                  <c:v>3</c:v>
                </c:pt>
              </c:numCache>
            </c:numRef>
          </c:val>
          <c:extLst>
            <c:ext xmlns:c16="http://schemas.microsoft.com/office/drawing/2014/chart" uri="{C3380CC4-5D6E-409C-BE32-E72D297353CC}">
              <c16:uniqueId val="{00000000-FD43-442B-9084-01F29D61B4C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Technical Cooperation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8F-428B-819C-FA5227A56F4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8F-428B-819C-FA5227A56F4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('Mechanism by Category'!$A$7,'Mechanism by Category'!$A$9)</c:f>
              <c:strCache>
                <c:ptCount val="2"/>
                <c:pt idx="0">
                  <c:v>Compliance- Normative</c:v>
                </c:pt>
                <c:pt idx="1">
                  <c:v>N/A</c:v>
                </c:pt>
              </c:strCache>
            </c:strRef>
          </c:cat>
          <c:val>
            <c:numRef>
              <c:f>('Mechanism by Category'!$G$7,'Mechanism by Category'!$G$9)</c:f>
              <c:numCache>
                <c:formatCode>General</c:formatCode>
                <c:ptCount val="2"/>
                <c:pt idx="0">
                  <c:v>7</c:v>
                </c:pt>
                <c:pt idx="1">
                  <c:v>2</c:v>
                </c:pt>
              </c:numCache>
            </c:numRef>
          </c:val>
          <c:extLst>
            <c:ext xmlns:c16="http://schemas.microsoft.com/office/drawing/2014/chart" uri="{C3380CC4-5D6E-409C-BE32-E72D297353CC}">
              <c16:uniqueId val="{00000000-EF1C-4135-B838-C957C28664C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Water Sharing Agreement</a:t>
            </a:r>
            <a:r>
              <a:rPr lang="en-CA" baseline="0"/>
              <a:t> Interactions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EBE-440A-BB70-62D823E1261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EBE-440A-BB70-62D823E1261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EBE-440A-BB70-62D823E1261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EBE-440A-BB70-62D823E1261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('Mechanism by Category'!$A$4,'Mechanism by Category'!$A$5,'Mechanism by Category'!$A$7,'Mechanism by Category'!$A$9)</c:f>
              <c:strCache>
                <c:ptCount val="4"/>
                <c:pt idx="0">
                  <c:v>Contest- Transformative</c:v>
                </c:pt>
                <c:pt idx="1">
                  <c:v>Compliance- Coercion</c:v>
                </c:pt>
                <c:pt idx="2">
                  <c:v>Compliance- Normative</c:v>
                </c:pt>
                <c:pt idx="3">
                  <c:v>N/A</c:v>
                </c:pt>
              </c:strCache>
            </c:strRef>
          </c:cat>
          <c:val>
            <c:numRef>
              <c:f>('Mechanism by Category'!$H$4,'Mechanism by Category'!$H$5,'Mechanism by Category'!$H$7,'Mechanism by Category'!$H$9)</c:f>
              <c:numCache>
                <c:formatCode>General</c:formatCode>
                <c:ptCount val="4"/>
                <c:pt idx="0">
                  <c:v>8</c:v>
                </c:pt>
                <c:pt idx="1">
                  <c:v>2</c:v>
                </c:pt>
                <c:pt idx="2">
                  <c:v>11</c:v>
                </c:pt>
                <c:pt idx="3">
                  <c:v>3</c:v>
                </c:pt>
              </c:numCache>
            </c:numRef>
          </c:val>
          <c:extLst>
            <c:ext xmlns:c16="http://schemas.microsoft.com/office/drawing/2014/chart" uri="{C3380CC4-5D6E-409C-BE32-E72D297353CC}">
              <c16:uniqueId val="{00000000-9456-439F-8EF0-A1DEED4D00B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7</xdr:col>
      <xdr:colOff>66674</xdr:colOff>
      <xdr:row>0</xdr:row>
      <xdr:rowOff>76200</xdr:rowOff>
    </xdr:from>
    <xdr:to>
      <xdr:col>14</xdr:col>
      <xdr:colOff>571499</xdr:colOff>
      <xdr:row>21</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190500</xdr:colOff>
      <xdr:row>22</xdr:row>
      <xdr:rowOff>85725</xdr:rowOff>
    </xdr:from>
    <xdr:to>
      <xdr:col>13</xdr:col>
      <xdr:colOff>647700</xdr:colOff>
      <xdr:row>38</xdr:row>
      <xdr:rowOff>161925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266700</xdr:colOff>
      <xdr:row>39</xdr:row>
      <xdr:rowOff>104775</xdr:rowOff>
    </xdr:from>
    <xdr:to>
      <xdr:col>14</xdr:col>
      <xdr:colOff>38100</xdr:colOff>
      <xdr:row>53</xdr:row>
      <xdr:rowOff>180975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190499</xdr:colOff>
      <xdr:row>3</xdr:row>
      <xdr:rowOff>28574</xdr:rowOff>
    </xdr:from>
    <xdr:to>
      <xdr:col>23</xdr:col>
      <xdr:colOff>276224</xdr:colOff>
      <xdr:row>20</xdr:row>
      <xdr:rowOff>419099</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10</xdr:row>
      <xdr:rowOff>66675</xdr:rowOff>
    </xdr:from>
    <xdr:to>
      <xdr:col>2</xdr:col>
      <xdr:colOff>866775</xdr:colOff>
      <xdr:row>23</xdr:row>
      <xdr:rowOff>85725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47625</xdr:colOff>
      <xdr:row>10</xdr:row>
      <xdr:rowOff>57149</xdr:rowOff>
    </xdr:from>
    <xdr:to>
      <xdr:col>6</xdr:col>
      <xdr:colOff>666750</xdr:colOff>
      <xdr:row>24</xdr:row>
      <xdr:rowOff>66674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200025</xdr:colOff>
      <xdr:row>9</xdr:row>
      <xdr:rowOff>57150</xdr:rowOff>
    </xdr:from>
    <xdr:to>
      <xdr:col>11</xdr:col>
      <xdr:colOff>104775</xdr:colOff>
      <xdr:row>23</xdr:row>
      <xdr:rowOff>133350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104775</xdr:colOff>
      <xdr:row>24</xdr:row>
      <xdr:rowOff>76199</xdr:rowOff>
    </xdr:from>
    <xdr:to>
      <xdr:col>3</xdr:col>
      <xdr:colOff>76200</xdr:colOff>
      <xdr:row>37</xdr:row>
      <xdr:rowOff>104774</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180975</xdr:colOff>
      <xdr:row>24</xdr:row>
      <xdr:rowOff>142875</xdr:rowOff>
    </xdr:from>
    <xdr:to>
      <xdr:col>6</xdr:col>
      <xdr:colOff>1143000</xdr:colOff>
      <xdr:row>38</xdr:row>
      <xdr:rowOff>104774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266700</xdr:colOff>
      <xdr:row>4</xdr:row>
      <xdr:rowOff>180975</xdr:rowOff>
    </xdr:from>
    <xdr:to>
      <xdr:col>2</xdr:col>
      <xdr:colOff>942975</xdr:colOff>
      <xdr:row>15</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819150</xdr:colOff>
      <xdr:row>5</xdr:row>
      <xdr:rowOff>0</xdr:rowOff>
    </xdr:from>
    <xdr:to>
      <xdr:col>7</xdr:col>
      <xdr:colOff>161925</xdr:colOff>
      <xdr:row>16</xdr:row>
      <xdr:rowOff>28575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276225</xdr:colOff>
      <xdr:row>17</xdr:row>
      <xdr:rowOff>95250</xdr:rowOff>
    </xdr:from>
    <xdr:to>
      <xdr:col>2</xdr:col>
      <xdr:colOff>847725</xdr:colOff>
      <xdr:row>28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1028700</xdr:colOff>
      <xdr:row>5</xdr:row>
      <xdr:rowOff>66675</xdr:rowOff>
    </xdr:from>
    <xdr:to>
      <xdr:col>5</xdr:col>
      <xdr:colOff>904875</xdr:colOff>
      <xdr:row>16</xdr:row>
      <xdr:rowOff>19050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352425</xdr:colOff>
      <xdr:row>5</xdr:row>
      <xdr:rowOff>0</xdr:rowOff>
    </xdr:from>
    <xdr:to>
      <xdr:col>13</xdr:col>
      <xdr:colOff>47624</xdr:colOff>
      <xdr:row>15</xdr:row>
      <xdr:rowOff>133350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152400</xdr:colOff>
      <xdr:row>5</xdr:row>
      <xdr:rowOff>9525</xdr:rowOff>
    </xdr:from>
    <xdr:to>
      <xdr:col>9</xdr:col>
      <xdr:colOff>600075</xdr:colOff>
      <xdr:row>16</xdr:row>
      <xdr:rowOff>57150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77"/>
  <sheetViews>
    <sheetView tabSelected="1" zoomScale="70" zoomScaleNormal="70" workbookViewId="0">
      <selection activeCell="I78" sqref="I78"/>
    </sheetView>
  </sheetViews>
  <sheetFormatPr defaultRowHeight="15" x14ac:dyDescent="0.25"/>
  <cols>
    <col min="1" max="1" width="9.42578125" customWidth="1"/>
    <col min="3" max="3" width="11.85546875" style="2" customWidth="1"/>
    <col min="4" max="4" width="12.5703125" style="13" customWidth="1"/>
    <col min="5" max="5" width="54.5703125" style="1" customWidth="1"/>
    <col min="6" max="6" width="35.42578125" style="1" customWidth="1"/>
    <col min="7" max="7" width="14.140625" customWidth="1"/>
    <col min="8" max="8" width="23.85546875" style="1" customWidth="1"/>
    <col min="9" max="9" width="34.7109375" customWidth="1"/>
    <col min="13" max="13" width="9.85546875" customWidth="1"/>
    <col min="14" max="15" width="11.42578125" customWidth="1"/>
    <col min="16" max="16" width="15.42578125" customWidth="1"/>
    <col min="17" max="18" width="10.140625" customWidth="1"/>
    <col min="19" max="19" width="30.42578125" customWidth="1"/>
    <col min="20" max="20" width="18.42578125" customWidth="1"/>
    <col min="21" max="24" width="10.140625" customWidth="1"/>
    <col min="25" max="25" width="12.42578125" customWidth="1"/>
    <col min="26" max="26" width="15" customWidth="1"/>
    <col min="27" max="27" width="15.42578125" customWidth="1"/>
    <col min="28" max="42" width="10.140625" customWidth="1"/>
    <col min="43" max="43" width="9.140625" customWidth="1"/>
    <col min="44" max="56" width="10.140625" customWidth="1"/>
    <col min="57" max="57" width="6.42578125" customWidth="1"/>
    <col min="58" max="58" width="9.85546875" customWidth="1"/>
    <col min="59" max="100" width="15.42578125" bestFit="1" customWidth="1"/>
    <col min="101" max="101" width="15.85546875" bestFit="1" customWidth="1"/>
    <col min="102" max="102" width="19.85546875" bestFit="1" customWidth="1"/>
  </cols>
  <sheetData>
    <row r="1" spans="1:27" s="17" customFormat="1" ht="45" x14ac:dyDescent="0.25">
      <c r="A1" s="28" t="s">
        <v>326</v>
      </c>
      <c r="B1" s="14" t="s">
        <v>222</v>
      </c>
      <c r="C1" s="14" t="s">
        <v>0</v>
      </c>
      <c r="D1" s="12" t="s">
        <v>46</v>
      </c>
      <c r="E1" s="12" t="s">
        <v>1</v>
      </c>
      <c r="F1" s="18" t="s">
        <v>97</v>
      </c>
      <c r="G1" s="15" t="s">
        <v>2</v>
      </c>
      <c r="H1" s="12" t="s">
        <v>99</v>
      </c>
      <c r="I1" s="16" t="s">
        <v>100</v>
      </c>
    </row>
    <row r="2" spans="1:27" ht="60" x14ac:dyDescent="0.25">
      <c r="A2">
        <v>1</v>
      </c>
      <c r="B2">
        <v>1994</v>
      </c>
      <c r="C2" s="2" t="s">
        <v>61</v>
      </c>
      <c r="D2" s="13" t="s">
        <v>209</v>
      </c>
      <c r="E2" s="1" t="s">
        <v>210</v>
      </c>
      <c r="G2" t="s">
        <v>5</v>
      </c>
      <c r="H2" s="1">
        <v>6.1</v>
      </c>
      <c r="I2" s="1" t="s">
        <v>258</v>
      </c>
      <c r="J2" s="9"/>
      <c r="K2" s="9"/>
      <c r="L2" s="9"/>
      <c r="M2" s="9"/>
      <c r="N2" s="9"/>
      <c r="O2" s="9"/>
      <c r="P2" s="9"/>
      <c r="Q2" s="9"/>
      <c r="R2" s="9"/>
    </row>
    <row r="3" spans="1:27" ht="409.5" x14ac:dyDescent="0.25">
      <c r="A3">
        <v>2</v>
      </c>
      <c r="B3">
        <v>1995</v>
      </c>
      <c r="C3" s="2" t="s">
        <v>48</v>
      </c>
      <c r="D3" s="13" t="s">
        <v>135</v>
      </c>
      <c r="E3" s="1" t="s">
        <v>49</v>
      </c>
      <c r="G3" t="s">
        <v>45</v>
      </c>
      <c r="H3" s="1">
        <v>0</v>
      </c>
      <c r="I3" s="1" t="s">
        <v>264</v>
      </c>
      <c r="J3" s="9"/>
      <c r="K3" s="9"/>
      <c r="L3" s="9"/>
      <c r="M3" s="9"/>
      <c r="N3" s="9"/>
      <c r="O3" s="9"/>
      <c r="P3" s="9"/>
      <c r="Q3" s="9"/>
      <c r="R3" s="9"/>
      <c r="V3" s="8"/>
      <c r="Z3" s="4"/>
      <c r="AA3" s="6"/>
    </row>
    <row r="4" spans="1:27" ht="405" x14ac:dyDescent="0.25">
      <c r="A4">
        <v>3</v>
      </c>
      <c r="B4">
        <v>1997</v>
      </c>
      <c r="C4" s="2" t="s">
        <v>180</v>
      </c>
      <c r="D4" s="13" t="s">
        <v>134</v>
      </c>
      <c r="E4" s="1" t="s">
        <v>182</v>
      </c>
      <c r="F4" s="1" t="s">
        <v>181</v>
      </c>
      <c r="G4" t="s">
        <v>45</v>
      </c>
      <c r="H4" s="1">
        <v>0</v>
      </c>
      <c r="I4" s="1" t="s">
        <v>288</v>
      </c>
      <c r="J4" s="9"/>
      <c r="K4" s="9"/>
      <c r="L4" s="9"/>
      <c r="M4" s="10"/>
      <c r="N4" s="9"/>
      <c r="O4" s="9"/>
      <c r="P4" s="9"/>
      <c r="Q4" s="9"/>
      <c r="R4" s="9"/>
      <c r="V4" s="8"/>
      <c r="Z4" s="5"/>
      <c r="AA4" s="6"/>
    </row>
    <row r="5" spans="1:27" ht="60" x14ac:dyDescent="0.25">
      <c r="A5">
        <v>4</v>
      </c>
      <c r="B5">
        <v>1994</v>
      </c>
      <c r="C5" s="2" t="s">
        <v>203</v>
      </c>
      <c r="D5" s="13" t="s">
        <v>202</v>
      </c>
      <c r="E5" s="1" t="s">
        <v>204</v>
      </c>
      <c r="G5" t="s">
        <v>236</v>
      </c>
      <c r="H5" s="1">
        <v>0</v>
      </c>
      <c r="I5" s="1" t="s">
        <v>243</v>
      </c>
      <c r="J5" s="9"/>
      <c r="K5" s="9"/>
      <c r="L5" s="9"/>
      <c r="M5" s="10"/>
      <c r="N5" s="9"/>
      <c r="O5" s="9"/>
      <c r="P5" s="9"/>
      <c r="Q5" s="9"/>
      <c r="R5" s="9"/>
      <c r="V5" s="8"/>
      <c r="Z5" s="4"/>
      <c r="AA5" s="6"/>
    </row>
    <row r="6" spans="1:27" ht="45" x14ac:dyDescent="0.25">
      <c r="A6">
        <v>5</v>
      </c>
      <c r="B6">
        <v>2011</v>
      </c>
      <c r="C6" s="7" t="s">
        <v>30</v>
      </c>
      <c r="D6" s="13" t="s">
        <v>101</v>
      </c>
      <c r="E6" s="1" t="s">
        <v>215</v>
      </c>
      <c r="G6" t="s">
        <v>45</v>
      </c>
      <c r="H6" s="1">
        <v>0</v>
      </c>
      <c r="I6" s="1" t="s">
        <v>295</v>
      </c>
      <c r="J6" s="9"/>
      <c r="K6" s="9"/>
      <c r="L6" s="9"/>
      <c r="M6" s="10"/>
      <c r="N6" s="9"/>
      <c r="O6" s="9"/>
      <c r="P6" s="9"/>
      <c r="Q6" s="9"/>
      <c r="R6" s="9"/>
      <c r="V6" s="8"/>
      <c r="Z6" s="4"/>
      <c r="AA6" s="6"/>
    </row>
    <row r="7" spans="1:27" ht="360" x14ac:dyDescent="0.25">
      <c r="A7">
        <v>6</v>
      </c>
      <c r="B7">
        <v>1994</v>
      </c>
      <c r="C7" s="2" t="s">
        <v>60</v>
      </c>
      <c r="D7" s="13" t="s">
        <v>101</v>
      </c>
      <c r="E7" s="1" t="s">
        <v>208</v>
      </c>
      <c r="F7" s="1" t="s">
        <v>207</v>
      </c>
      <c r="G7" t="s">
        <v>45</v>
      </c>
      <c r="H7" s="1">
        <v>3.1</v>
      </c>
      <c r="I7" s="1" t="s">
        <v>297</v>
      </c>
      <c r="M7" s="4"/>
      <c r="Z7" s="5"/>
      <c r="AA7" s="6"/>
    </row>
    <row r="8" spans="1:27" ht="90" x14ac:dyDescent="0.25">
      <c r="A8">
        <v>7</v>
      </c>
      <c r="B8">
        <v>1999</v>
      </c>
      <c r="C8" s="2" t="s">
        <v>72</v>
      </c>
      <c r="D8" s="13" t="s">
        <v>101</v>
      </c>
      <c r="E8" s="1" t="s">
        <v>172</v>
      </c>
      <c r="F8" s="1" t="s">
        <v>171</v>
      </c>
      <c r="G8" t="s">
        <v>4</v>
      </c>
      <c r="H8" s="1">
        <v>0</v>
      </c>
      <c r="I8" s="24" t="s">
        <v>278</v>
      </c>
      <c r="M8" s="4"/>
      <c r="Z8" s="4"/>
      <c r="AA8" s="6"/>
    </row>
    <row r="9" spans="1:27" ht="120" x14ac:dyDescent="0.25">
      <c r="A9">
        <v>8</v>
      </c>
      <c r="B9">
        <v>1995</v>
      </c>
      <c r="C9" s="2" t="s">
        <v>54</v>
      </c>
      <c r="D9" s="13" t="s">
        <v>135</v>
      </c>
      <c r="E9" s="1" t="s">
        <v>196</v>
      </c>
      <c r="F9" s="1" t="s">
        <v>197</v>
      </c>
      <c r="G9" t="s">
        <v>5</v>
      </c>
      <c r="H9" s="1">
        <v>0</v>
      </c>
      <c r="I9" s="1" t="s">
        <v>259</v>
      </c>
      <c r="M9" s="4"/>
      <c r="S9" s="4"/>
      <c r="T9" s="6"/>
      <c r="Z9" s="4"/>
      <c r="AA9" s="6"/>
    </row>
    <row r="10" spans="1:27" ht="105" x14ac:dyDescent="0.25">
      <c r="A10">
        <v>9</v>
      </c>
      <c r="B10">
        <v>1995</v>
      </c>
      <c r="C10" s="2" t="s">
        <v>53</v>
      </c>
      <c r="D10" s="13" t="s">
        <v>135</v>
      </c>
      <c r="E10" s="1" t="s">
        <v>195</v>
      </c>
      <c r="F10" s="1" t="s">
        <v>194</v>
      </c>
      <c r="G10" t="s">
        <v>3</v>
      </c>
      <c r="H10" s="1">
        <v>0</v>
      </c>
      <c r="I10" s="1" t="s">
        <v>252</v>
      </c>
      <c r="M10" s="4"/>
      <c r="S10" s="4"/>
      <c r="T10" s="6"/>
      <c r="Z10" s="5"/>
      <c r="AA10" s="6"/>
    </row>
    <row r="11" spans="1:27" ht="45" x14ac:dyDescent="0.25">
      <c r="A11">
        <v>10</v>
      </c>
      <c r="B11">
        <v>2002</v>
      </c>
      <c r="C11" s="2" t="s">
        <v>156</v>
      </c>
      <c r="D11" s="13" t="s">
        <v>134</v>
      </c>
      <c r="E11" s="1" t="s">
        <v>157</v>
      </c>
      <c r="G11" t="s">
        <v>98</v>
      </c>
      <c r="H11" s="1">
        <v>0</v>
      </c>
      <c r="I11" s="1" t="s">
        <v>262</v>
      </c>
      <c r="S11" s="4"/>
      <c r="T11" s="6"/>
    </row>
    <row r="12" spans="1:27" ht="165" x14ac:dyDescent="0.25">
      <c r="A12">
        <v>11</v>
      </c>
      <c r="B12">
        <v>2007</v>
      </c>
      <c r="C12" s="2" t="s">
        <v>141</v>
      </c>
      <c r="D12" s="13" t="s">
        <v>101</v>
      </c>
      <c r="E12" s="1" t="s">
        <v>142</v>
      </c>
      <c r="F12" s="1" t="s">
        <v>143</v>
      </c>
      <c r="G12" t="s">
        <v>236</v>
      </c>
      <c r="H12" s="1">
        <v>0</v>
      </c>
      <c r="I12" s="24" t="s">
        <v>246</v>
      </c>
      <c r="S12" s="4"/>
      <c r="T12" s="6"/>
      <c r="Y12" s="4"/>
      <c r="Z12" s="6"/>
    </row>
    <row r="13" spans="1:27" ht="45" x14ac:dyDescent="0.25">
      <c r="A13">
        <v>12</v>
      </c>
      <c r="B13">
        <v>2010</v>
      </c>
      <c r="C13" s="2" t="s">
        <v>32</v>
      </c>
      <c r="D13" s="13" t="s">
        <v>119</v>
      </c>
      <c r="E13" s="1" t="s">
        <v>33</v>
      </c>
      <c r="G13" t="s">
        <v>236</v>
      </c>
      <c r="H13" s="1">
        <v>0</v>
      </c>
      <c r="I13" s="1" t="s">
        <v>248</v>
      </c>
      <c r="S13" s="4"/>
      <c r="T13" s="6"/>
      <c r="Y13" s="4"/>
      <c r="Z13" s="6"/>
    </row>
    <row r="14" spans="1:27" ht="30" x14ac:dyDescent="0.25">
      <c r="A14">
        <v>13</v>
      </c>
      <c r="B14">
        <v>2011</v>
      </c>
      <c r="C14" s="2" t="s">
        <v>31</v>
      </c>
      <c r="D14" s="13" t="s">
        <v>101</v>
      </c>
      <c r="E14" s="1" t="s">
        <v>118</v>
      </c>
      <c r="G14" t="s">
        <v>4</v>
      </c>
      <c r="H14" s="1">
        <v>0</v>
      </c>
      <c r="I14" s="24" t="s">
        <v>281</v>
      </c>
      <c r="S14" s="4"/>
      <c r="T14" s="6"/>
      <c r="Y14" s="4"/>
      <c r="Z14" s="6"/>
    </row>
    <row r="15" spans="1:27" ht="315" x14ac:dyDescent="0.25">
      <c r="A15">
        <v>14</v>
      </c>
      <c r="B15">
        <v>1994</v>
      </c>
      <c r="C15" s="2" t="s">
        <v>59</v>
      </c>
      <c r="D15" s="13" t="s">
        <v>101</v>
      </c>
      <c r="E15" s="1" t="s">
        <v>205</v>
      </c>
      <c r="F15" s="1" t="s">
        <v>206</v>
      </c>
      <c r="G15" t="s">
        <v>45</v>
      </c>
      <c r="H15" s="1">
        <v>3.1</v>
      </c>
      <c r="I15" s="1" t="s">
        <v>282</v>
      </c>
      <c r="S15" s="4"/>
      <c r="T15" s="6"/>
      <c r="Y15" s="4"/>
      <c r="Z15" s="6"/>
    </row>
    <row r="16" spans="1:27" ht="150" x14ac:dyDescent="0.25">
      <c r="A16">
        <v>15</v>
      </c>
      <c r="B16">
        <v>1995</v>
      </c>
      <c r="C16" s="2" t="s">
        <v>56</v>
      </c>
      <c r="D16" s="13" t="s">
        <v>101</v>
      </c>
      <c r="E16" s="1" t="s">
        <v>201</v>
      </c>
      <c r="F16" s="1" t="s">
        <v>200</v>
      </c>
      <c r="G16" t="s">
        <v>45</v>
      </c>
      <c r="H16" s="1">
        <v>3.1</v>
      </c>
      <c r="I16" s="24" t="s">
        <v>284</v>
      </c>
      <c r="S16" s="4"/>
      <c r="T16" s="6"/>
      <c r="Y16" s="4"/>
      <c r="Z16" s="6"/>
    </row>
    <row r="17" spans="1:27" ht="150" x14ac:dyDescent="0.25">
      <c r="A17">
        <v>16</v>
      </c>
      <c r="B17">
        <v>1995</v>
      </c>
      <c r="C17" s="2" t="s">
        <v>55</v>
      </c>
      <c r="D17" s="13" t="s">
        <v>152</v>
      </c>
      <c r="E17" s="1" t="s">
        <v>198</v>
      </c>
      <c r="F17" s="1" t="s">
        <v>199</v>
      </c>
      <c r="G17" t="s">
        <v>4</v>
      </c>
      <c r="H17" s="1">
        <v>6.1</v>
      </c>
      <c r="I17" s="1" t="s">
        <v>275</v>
      </c>
      <c r="Y17" s="4"/>
      <c r="Z17" s="6"/>
    </row>
    <row r="18" spans="1:27" ht="150" x14ac:dyDescent="0.25">
      <c r="A18">
        <v>17</v>
      </c>
      <c r="B18">
        <v>2004</v>
      </c>
      <c r="C18" s="2" t="s">
        <v>83</v>
      </c>
      <c r="D18" s="13" t="s">
        <v>134</v>
      </c>
      <c r="E18" s="1" t="s">
        <v>150</v>
      </c>
      <c r="F18" s="1" t="s">
        <v>151</v>
      </c>
      <c r="G18" t="s">
        <v>45</v>
      </c>
      <c r="H18" s="1">
        <v>3.1</v>
      </c>
      <c r="I18" s="1" t="s">
        <v>294</v>
      </c>
      <c r="Y18" s="4"/>
      <c r="Z18" s="6"/>
    </row>
    <row r="19" spans="1:27" ht="90" x14ac:dyDescent="0.25">
      <c r="A19">
        <v>18</v>
      </c>
      <c r="B19">
        <v>2015</v>
      </c>
      <c r="C19" s="2" t="s">
        <v>9</v>
      </c>
      <c r="D19" s="13" t="s">
        <v>103</v>
      </c>
      <c r="E19" s="1" t="s">
        <v>10</v>
      </c>
      <c r="G19" t="s">
        <v>45</v>
      </c>
      <c r="H19" s="1">
        <v>3.1</v>
      </c>
      <c r="I19" s="1" t="s">
        <v>296</v>
      </c>
      <c r="Y19" s="4"/>
      <c r="Z19" s="6"/>
    </row>
    <row r="20" spans="1:27" ht="75" x14ac:dyDescent="0.25">
      <c r="A20">
        <v>19</v>
      </c>
      <c r="B20">
        <v>1998</v>
      </c>
      <c r="C20" s="2" t="s">
        <v>76</v>
      </c>
      <c r="D20" s="13" t="s">
        <v>130</v>
      </c>
      <c r="E20" s="1" t="s">
        <v>175</v>
      </c>
      <c r="G20" t="s">
        <v>45</v>
      </c>
      <c r="H20" s="1">
        <v>3.3</v>
      </c>
      <c r="I20" s="1" t="s">
        <v>289</v>
      </c>
      <c r="Y20" s="4"/>
      <c r="Z20" s="6"/>
    </row>
    <row r="21" spans="1:27" ht="45" x14ac:dyDescent="0.25">
      <c r="A21">
        <v>20</v>
      </c>
      <c r="B21">
        <v>1998</v>
      </c>
      <c r="C21" s="2" t="s">
        <v>77</v>
      </c>
      <c r="D21" s="13" t="s">
        <v>177</v>
      </c>
      <c r="E21" s="1" t="s">
        <v>176</v>
      </c>
      <c r="G21" t="s">
        <v>3</v>
      </c>
      <c r="H21" s="1">
        <v>0</v>
      </c>
      <c r="I21" s="1" t="s">
        <v>254</v>
      </c>
      <c r="Y21" s="4"/>
      <c r="Z21" s="6"/>
    </row>
    <row r="22" spans="1:27" ht="75" x14ac:dyDescent="0.25">
      <c r="A22">
        <v>21</v>
      </c>
      <c r="B22">
        <v>2005</v>
      </c>
      <c r="C22" s="2" t="s">
        <v>82</v>
      </c>
      <c r="D22" s="13" t="s">
        <v>148</v>
      </c>
      <c r="E22" s="1" t="s">
        <v>149</v>
      </c>
      <c r="G22" t="s">
        <v>3</v>
      </c>
      <c r="H22" s="1">
        <v>2.1</v>
      </c>
      <c r="I22" s="1" t="s">
        <v>239</v>
      </c>
      <c r="Y22" s="4"/>
      <c r="Z22" s="6"/>
    </row>
    <row r="23" spans="1:27" ht="90" x14ac:dyDescent="0.25">
      <c r="A23">
        <v>22</v>
      </c>
      <c r="B23">
        <v>1998</v>
      </c>
      <c r="C23" s="2" t="s">
        <v>74</v>
      </c>
      <c r="D23" s="13" t="s">
        <v>130</v>
      </c>
      <c r="E23" s="1" t="s">
        <v>75</v>
      </c>
      <c r="F23" s="1" t="s">
        <v>174</v>
      </c>
      <c r="G23" t="s">
        <v>45</v>
      </c>
      <c r="H23" s="1">
        <v>3.3</v>
      </c>
      <c r="I23" s="1" t="s">
        <v>289</v>
      </c>
      <c r="Y23" s="4"/>
      <c r="Z23" s="6"/>
    </row>
    <row r="24" spans="1:27" ht="150" x14ac:dyDescent="0.25">
      <c r="A24">
        <v>23</v>
      </c>
      <c r="B24">
        <v>2009</v>
      </c>
      <c r="C24" s="2" t="s">
        <v>35</v>
      </c>
      <c r="D24" s="13" t="s">
        <v>129</v>
      </c>
      <c r="E24" s="1" t="s">
        <v>36</v>
      </c>
      <c r="F24" s="1" t="s">
        <v>128</v>
      </c>
      <c r="G24" t="s">
        <v>45</v>
      </c>
      <c r="H24" s="1">
        <v>3.3</v>
      </c>
      <c r="I24" s="1" t="s">
        <v>289</v>
      </c>
      <c r="Y24" s="4"/>
      <c r="Z24" s="6"/>
    </row>
    <row r="25" spans="1:27" ht="60" x14ac:dyDescent="0.25">
      <c r="A25">
        <v>24</v>
      </c>
      <c r="B25">
        <v>1997</v>
      </c>
      <c r="C25" s="2" t="s">
        <v>80</v>
      </c>
      <c r="D25" s="13" t="s">
        <v>134</v>
      </c>
      <c r="E25" s="1" t="s">
        <v>81</v>
      </c>
      <c r="G25" t="s">
        <v>45</v>
      </c>
      <c r="H25" s="1">
        <v>4.3</v>
      </c>
      <c r="I25" s="1" t="s">
        <v>286</v>
      </c>
    </row>
    <row r="26" spans="1:27" ht="285" x14ac:dyDescent="0.25">
      <c r="A26">
        <v>25</v>
      </c>
      <c r="B26">
        <v>1995</v>
      </c>
      <c r="C26" s="2" t="s">
        <v>51</v>
      </c>
      <c r="D26" s="13" t="s">
        <v>187</v>
      </c>
      <c r="E26" s="1" t="s">
        <v>186</v>
      </c>
      <c r="F26" s="1" t="s">
        <v>185</v>
      </c>
      <c r="G26" t="s">
        <v>4</v>
      </c>
      <c r="H26" s="1">
        <v>6.1</v>
      </c>
      <c r="I26" s="1" t="s">
        <v>276</v>
      </c>
    </row>
    <row r="27" spans="1:27" ht="105" x14ac:dyDescent="0.25">
      <c r="A27">
        <v>26</v>
      </c>
      <c r="B27">
        <v>2009</v>
      </c>
      <c r="C27" s="2" t="s">
        <v>34</v>
      </c>
      <c r="D27" s="13" t="s">
        <v>101</v>
      </c>
      <c r="E27" s="1" t="s">
        <v>127</v>
      </c>
      <c r="G27" t="s">
        <v>45</v>
      </c>
      <c r="H27" s="1">
        <v>4.3</v>
      </c>
      <c r="I27" s="1" t="s">
        <v>283</v>
      </c>
      <c r="AA27" s="6"/>
    </row>
    <row r="28" spans="1:27" ht="45" x14ac:dyDescent="0.25">
      <c r="A28">
        <v>27</v>
      </c>
      <c r="B28">
        <v>1995</v>
      </c>
      <c r="C28" s="2" t="s">
        <v>57</v>
      </c>
      <c r="D28" s="13" t="s">
        <v>202</v>
      </c>
      <c r="E28" s="1" t="s">
        <v>58</v>
      </c>
      <c r="G28" t="s">
        <v>45</v>
      </c>
      <c r="H28" s="1">
        <v>6.1</v>
      </c>
      <c r="I28" s="1" t="s">
        <v>285</v>
      </c>
      <c r="AA28" s="6"/>
    </row>
    <row r="29" spans="1:27" ht="90" x14ac:dyDescent="0.25">
      <c r="A29">
        <v>28</v>
      </c>
      <c r="B29">
        <v>1995</v>
      </c>
      <c r="C29" s="2" t="s">
        <v>50</v>
      </c>
      <c r="D29" s="13" t="s">
        <v>134</v>
      </c>
      <c r="E29" s="1" t="s">
        <v>183</v>
      </c>
      <c r="F29" s="1" t="s">
        <v>184</v>
      </c>
      <c r="G29" t="s">
        <v>45</v>
      </c>
      <c r="H29" s="1">
        <v>6.1</v>
      </c>
      <c r="I29" s="1" t="s">
        <v>285</v>
      </c>
      <c r="AA29" s="6"/>
    </row>
    <row r="30" spans="1:27" ht="60" x14ac:dyDescent="0.25">
      <c r="A30">
        <v>29</v>
      </c>
      <c r="B30">
        <v>1997</v>
      </c>
      <c r="C30" s="2" t="s">
        <v>79</v>
      </c>
      <c r="D30" s="13" t="s">
        <v>134</v>
      </c>
      <c r="E30" s="1" t="s">
        <v>96</v>
      </c>
      <c r="G30" t="s">
        <v>45</v>
      </c>
      <c r="H30" s="1">
        <v>6.1</v>
      </c>
      <c r="I30" s="1" t="s">
        <v>287</v>
      </c>
      <c r="AA30" s="6"/>
    </row>
    <row r="31" spans="1:27" ht="60" x14ac:dyDescent="0.25">
      <c r="A31">
        <v>30</v>
      </c>
      <c r="B31">
        <v>1999</v>
      </c>
      <c r="C31" s="2" t="s">
        <v>68</v>
      </c>
      <c r="D31" s="13" t="s">
        <v>135</v>
      </c>
      <c r="E31" s="1" t="s">
        <v>162</v>
      </c>
      <c r="G31" t="s">
        <v>5</v>
      </c>
      <c r="H31" s="1">
        <v>6.1</v>
      </c>
      <c r="I31" s="1" t="s">
        <v>260</v>
      </c>
      <c r="AA31" s="6"/>
    </row>
    <row r="32" spans="1:27" ht="75" x14ac:dyDescent="0.25">
      <c r="A32">
        <v>31</v>
      </c>
      <c r="B32">
        <v>1998</v>
      </c>
      <c r="C32" s="2" t="s">
        <v>73</v>
      </c>
      <c r="D32" s="13" t="s">
        <v>130</v>
      </c>
      <c r="E32" s="1" t="s">
        <v>173</v>
      </c>
      <c r="G32" t="s">
        <v>45</v>
      </c>
      <c r="H32" s="1">
        <v>6.1</v>
      </c>
      <c r="I32" s="1" t="s">
        <v>290</v>
      </c>
      <c r="AA32" s="6"/>
    </row>
    <row r="33" spans="1:27" ht="60" x14ac:dyDescent="0.25">
      <c r="A33">
        <v>32</v>
      </c>
      <c r="B33">
        <v>2000</v>
      </c>
      <c r="C33" s="2" t="s">
        <v>65</v>
      </c>
      <c r="D33" s="13" t="s">
        <v>134</v>
      </c>
      <c r="E33" s="1" t="s">
        <v>161</v>
      </c>
      <c r="G33" t="s">
        <v>4</v>
      </c>
      <c r="H33" s="1">
        <v>6.1</v>
      </c>
      <c r="I33" s="24" t="s">
        <v>279</v>
      </c>
      <c r="AA33" s="6"/>
    </row>
    <row r="34" spans="1:27" ht="165" x14ac:dyDescent="0.25">
      <c r="A34">
        <v>33</v>
      </c>
      <c r="B34">
        <v>1999</v>
      </c>
      <c r="C34" s="2" t="s">
        <v>71</v>
      </c>
      <c r="D34" s="13" t="s">
        <v>169</v>
      </c>
      <c r="E34" s="1" t="s">
        <v>216</v>
      </c>
      <c r="F34" s="1" t="s">
        <v>170</v>
      </c>
      <c r="G34" t="s">
        <v>45</v>
      </c>
      <c r="H34" s="1">
        <v>6.1</v>
      </c>
      <c r="I34" s="1" t="s">
        <v>291</v>
      </c>
      <c r="AA34" s="6"/>
    </row>
    <row r="35" spans="1:27" ht="45" x14ac:dyDescent="0.25">
      <c r="A35">
        <v>34</v>
      </c>
      <c r="B35">
        <v>1996</v>
      </c>
      <c r="C35" s="2" t="s">
        <v>124</v>
      </c>
      <c r="D35" s="13" t="s">
        <v>122</v>
      </c>
      <c r="E35" s="1" t="s">
        <v>125</v>
      </c>
      <c r="G35" t="s">
        <v>4</v>
      </c>
      <c r="H35" s="1">
        <v>6.2</v>
      </c>
      <c r="I35" s="1" t="s">
        <v>277</v>
      </c>
      <c r="AA35" s="6"/>
    </row>
    <row r="36" spans="1:27" ht="135" x14ac:dyDescent="0.25">
      <c r="A36">
        <v>35</v>
      </c>
      <c r="B36">
        <v>1999</v>
      </c>
      <c r="C36" s="2" t="s">
        <v>70</v>
      </c>
      <c r="D36" s="13" t="s">
        <v>169</v>
      </c>
      <c r="E36" s="1" t="s">
        <v>167</v>
      </c>
      <c r="F36" s="1" t="s">
        <v>168</v>
      </c>
      <c r="G36" t="s">
        <v>45</v>
      </c>
      <c r="H36" s="1">
        <v>6.1</v>
      </c>
      <c r="I36" s="1" t="s">
        <v>291</v>
      </c>
      <c r="AA36" s="6"/>
    </row>
    <row r="37" spans="1:27" ht="45" x14ac:dyDescent="0.25">
      <c r="A37">
        <v>36</v>
      </c>
      <c r="B37">
        <v>2008</v>
      </c>
      <c r="C37" s="2" t="s">
        <v>40</v>
      </c>
      <c r="D37" s="13" t="s">
        <v>134</v>
      </c>
      <c r="E37" s="1" t="s">
        <v>133</v>
      </c>
      <c r="G37" t="s">
        <v>3</v>
      </c>
      <c r="H37" s="1">
        <v>2.1</v>
      </c>
      <c r="I37" s="1" t="s">
        <v>238</v>
      </c>
      <c r="Z37" s="5"/>
      <c r="AA37" s="6"/>
    </row>
    <row r="38" spans="1:27" ht="60" x14ac:dyDescent="0.25">
      <c r="A38">
        <v>37</v>
      </c>
      <c r="B38">
        <v>2004</v>
      </c>
      <c r="C38" s="2" t="s">
        <v>84</v>
      </c>
      <c r="D38" s="13" t="s">
        <v>152</v>
      </c>
      <c r="E38" s="1" t="s">
        <v>155</v>
      </c>
      <c r="F38" s="1" t="s">
        <v>154</v>
      </c>
      <c r="G38" t="s">
        <v>98</v>
      </c>
      <c r="H38" s="1">
        <v>0</v>
      </c>
      <c r="I38" s="1" t="s">
        <v>263</v>
      </c>
      <c r="Z38" s="4"/>
      <c r="AA38" s="6"/>
    </row>
    <row r="39" spans="1:27" ht="45" x14ac:dyDescent="0.25">
      <c r="A39">
        <v>38</v>
      </c>
      <c r="B39">
        <v>2000</v>
      </c>
      <c r="C39" s="2" t="s">
        <v>62</v>
      </c>
      <c r="D39" s="13" t="s">
        <v>148</v>
      </c>
      <c r="E39" s="1" t="s">
        <v>63</v>
      </c>
      <c r="G39" t="s">
        <v>4</v>
      </c>
      <c r="H39" s="1">
        <v>6.2</v>
      </c>
      <c r="I39" s="24" t="s">
        <v>280</v>
      </c>
      <c r="Z39" s="5"/>
      <c r="AA39" s="6"/>
    </row>
    <row r="40" spans="1:27" ht="45" x14ac:dyDescent="0.25">
      <c r="A40">
        <v>39</v>
      </c>
      <c r="B40">
        <v>2004</v>
      </c>
      <c r="C40" s="2" t="s">
        <v>85</v>
      </c>
      <c r="D40" s="13" t="s">
        <v>152</v>
      </c>
      <c r="E40" s="1" t="s">
        <v>153</v>
      </c>
      <c r="G40" t="s">
        <v>98</v>
      </c>
      <c r="H40" s="1">
        <v>0</v>
      </c>
      <c r="I40" s="24" t="s">
        <v>264</v>
      </c>
      <c r="Z40" s="5"/>
      <c r="AA40" s="6"/>
    </row>
    <row r="41" spans="1:27" ht="105" x14ac:dyDescent="0.25">
      <c r="A41">
        <v>40</v>
      </c>
      <c r="B41">
        <v>2006</v>
      </c>
      <c r="C41" s="2" t="s">
        <v>43</v>
      </c>
      <c r="D41" s="13" t="s">
        <v>134</v>
      </c>
      <c r="E41" s="1" t="s">
        <v>144</v>
      </c>
      <c r="F41" s="1" t="s">
        <v>145</v>
      </c>
      <c r="G41" t="s">
        <v>98</v>
      </c>
      <c r="H41" s="1">
        <v>0</v>
      </c>
      <c r="I41" s="24" t="s">
        <v>265</v>
      </c>
      <c r="Z41" s="4"/>
      <c r="AA41" s="6"/>
    </row>
    <row r="42" spans="1:27" ht="105" x14ac:dyDescent="0.25">
      <c r="A42">
        <v>41</v>
      </c>
      <c r="B42">
        <v>1999</v>
      </c>
      <c r="C42" s="2" t="s">
        <v>165</v>
      </c>
      <c r="D42" s="13" t="s">
        <v>130</v>
      </c>
      <c r="E42" s="1" t="s">
        <v>166</v>
      </c>
      <c r="F42" s="1" t="s">
        <v>164</v>
      </c>
      <c r="G42" t="s">
        <v>45</v>
      </c>
      <c r="H42" s="1">
        <v>6.1</v>
      </c>
      <c r="I42" s="1" t="s">
        <v>291</v>
      </c>
      <c r="Z42" s="4"/>
      <c r="AA42" s="6"/>
    </row>
    <row r="43" spans="1:27" ht="75" x14ac:dyDescent="0.25">
      <c r="A43">
        <v>42</v>
      </c>
      <c r="B43">
        <v>2008</v>
      </c>
      <c r="C43" s="2" t="s">
        <v>39</v>
      </c>
      <c r="D43" s="13" t="s">
        <v>130</v>
      </c>
      <c r="E43" s="1" t="s">
        <v>132</v>
      </c>
      <c r="G43" t="s">
        <v>3</v>
      </c>
      <c r="H43" s="1">
        <v>2.1</v>
      </c>
      <c r="I43" s="1" t="s">
        <v>238</v>
      </c>
      <c r="Z43" s="5"/>
      <c r="AA43" s="6"/>
    </row>
    <row r="44" spans="1:27" ht="195" x14ac:dyDescent="0.25">
      <c r="A44">
        <v>43</v>
      </c>
      <c r="B44">
        <v>1997</v>
      </c>
      <c r="C44" s="2" t="s">
        <v>78</v>
      </c>
      <c r="D44" s="13" t="s">
        <v>152</v>
      </c>
      <c r="E44" s="1" t="s">
        <v>178</v>
      </c>
      <c r="F44" s="1" t="s">
        <v>179</v>
      </c>
      <c r="G44" t="s">
        <v>3</v>
      </c>
      <c r="H44" s="1">
        <v>2.2999999999999998</v>
      </c>
      <c r="I44" s="1" t="s">
        <v>253</v>
      </c>
      <c r="Z44" s="4"/>
      <c r="AA44" s="6"/>
    </row>
    <row r="45" spans="1:27" ht="45" x14ac:dyDescent="0.25">
      <c r="A45">
        <v>44</v>
      </c>
      <c r="B45">
        <v>2007</v>
      </c>
      <c r="C45" s="2" t="s">
        <v>139</v>
      </c>
      <c r="D45" s="13" t="s">
        <v>140</v>
      </c>
      <c r="E45" s="1" t="s">
        <v>42</v>
      </c>
      <c r="G45" t="s">
        <v>98</v>
      </c>
      <c r="H45" s="1">
        <v>0</v>
      </c>
      <c r="I45" s="24" t="s">
        <v>264</v>
      </c>
      <c r="Z45" s="5"/>
      <c r="AA45" s="6"/>
    </row>
    <row r="46" spans="1:27" ht="45" x14ac:dyDescent="0.25">
      <c r="A46">
        <v>45</v>
      </c>
      <c r="B46">
        <v>2013</v>
      </c>
      <c r="C46" s="7" t="s">
        <v>28</v>
      </c>
      <c r="D46" s="13" t="s">
        <v>102</v>
      </c>
      <c r="E46" s="1" t="s">
        <v>29</v>
      </c>
      <c r="G46" t="s">
        <v>98</v>
      </c>
      <c r="H46" s="1">
        <v>0</v>
      </c>
      <c r="I46" s="24" t="s">
        <v>264</v>
      </c>
      <c r="Z46" s="4"/>
      <c r="AA46" s="6"/>
    </row>
    <row r="47" spans="1:27" ht="60" x14ac:dyDescent="0.25">
      <c r="A47">
        <v>46</v>
      </c>
      <c r="B47">
        <v>1995</v>
      </c>
      <c r="C47" s="2" t="s">
        <v>193</v>
      </c>
      <c r="D47" s="13" t="s">
        <v>188</v>
      </c>
      <c r="E47" s="1" t="s">
        <v>241</v>
      </c>
      <c r="G47" t="s">
        <v>236</v>
      </c>
      <c r="H47" s="1">
        <v>1.2</v>
      </c>
      <c r="I47" s="1" t="s">
        <v>245</v>
      </c>
      <c r="Z47" s="5"/>
      <c r="AA47" s="6"/>
    </row>
    <row r="48" spans="1:27" ht="75" x14ac:dyDescent="0.25">
      <c r="A48">
        <v>47</v>
      </c>
      <c r="B48">
        <v>2007</v>
      </c>
      <c r="C48" s="2" t="s">
        <v>93</v>
      </c>
      <c r="D48" s="13" t="s">
        <v>138</v>
      </c>
      <c r="E48" s="1" t="s">
        <v>137</v>
      </c>
      <c r="G48" t="s">
        <v>237</v>
      </c>
      <c r="H48" s="1">
        <v>2.2999999999999998</v>
      </c>
      <c r="I48" s="1" t="s">
        <v>256</v>
      </c>
      <c r="Z48" s="4"/>
      <c r="AA48" s="6"/>
    </row>
    <row r="49" spans="1:27" ht="30" x14ac:dyDescent="0.25">
      <c r="A49">
        <v>48</v>
      </c>
      <c r="B49">
        <v>2008</v>
      </c>
      <c r="C49" s="2" t="s">
        <v>37</v>
      </c>
      <c r="D49" s="13" t="s">
        <v>131</v>
      </c>
      <c r="E49" s="1" t="s">
        <v>38</v>
      </c>
      <c r="G49" t="s">
        <v>236</v>
      </c>
      <c r="H49" s="1">
        <v>1.2</v>
      </c>
      <c r="I49" s="1" t="s">
        <v>247</v>
      </c>
      <c r="Z49" s="5"/>
      <c r="AA49" s="6"/>
    </row>
    <row r="50" spans="1:27" ht="45" x14ac:dyDescent="0.25">
      <c r="A50">
        <v>49</v>
      </c>
      <c r="B50">
        <v>2001</v>
      </c>
      <c r="C50" s="2" t="s">
        <v>94</v>
      </c>
      <c r="D50" s="13" t="s">
        <v>158</v>
      </c>
      <c r="E50" s="1" t="s">
        <v>95</v>
      </c>
      <c r="G50" t="s">
        <v>3</v>
      </c>
      <c r="H50" s="1">
        <v>2.2999999999999998</v>
      </c>
      <c r="I50" s="24" t="s">
        <v>255</v>
      </c>
      <c r="Z50" s="5"/>
      <c r="AA50" s="6"/>
    </row>
    <row r="51" spans="1:27" ht="75" x14ac:dyDescent="0.25">
      <c r="A51">
        <v>50</v>
      </c>
      <c r="B51">
        <v>2006</v>
      </c>
      <c r="C51" s="2" t="s">
        <v>44</v>
      </c>
      <c r="D51" s="13" t="s">
        <v>147</v>
      </c>
      <c r="E51" s="1" t="s">
        <v>146</v>
      </c>
      <c r="G51" t="s">
        <v>3</v>
      </c>
      <c r="H51" s="1">
        <v>6.1</v>
      </c>
      <c r="I51" s="1" t="s">
        <v>240</v>
      </c>
      <c r="Z51" s="4"/>
      <c r="AA51" s="6"/>
    </row>
    <row r="52" spans="1:27" ht="75" x14ac:dyDescent="0.25">
      <c r="A52">
        <v>51</v>
      </c>
      <c r="B52">
        <v>2007</v>
      </c>
      <c r="C52" s="2" t="s">
        <v>41</v>
      </c>
      <c r="D52" s="13" t="s">
        <v>135</v>
      </c>
      <c r="E52" s="1" t="s">
        <v>136</v>
      </c>
      <c r="G52" t="s">
        <v>236</v>
      </c>
      <c r="H52" s="1">
        <v>2.2000000000000002</v>
      </c>
      <c r="I52" s="1" t="s">
        <v>242</v>
      </c>
      <c r="Z52" s="5"/>
      <c r="AA52" s="6"/>
    </row>
    <row r="53" spans="1:27" ht="90" x14ac:dyDescent="0.25">
      <c r="A53">
        <v>52</v>
      </c>
      <c r="B53">
        <v>1995</v>
      </c>
      <c r="C53" s="2" t="s">
        <v>191</v>
      </c>
      <c r="D53" s="13" t="s">
        <v>188</v>
      </c>
      <c r="E53" s="1" t="s">
        <v>192</v>
      </c>
      <c r="G53" t="s">
        <v>98</v>
      </c>
      <c r="H53" s="1">
        <v>2.1</v>
      </c>
      <c r="I53" s="1" t="s">
        <v>261</v>
      </c>
      <c r="Z53" s="4"/>
      <c r="AA53" s="6"/>
    </row>
    <row r="54" spans="1:27" ht="75" x14ac:dyDescent="0.25">
      <c r="A54">
        <v>53</v>
      </c>
      <c r="B54">
        <v>1999</v>
      </c>
      <c r="C54" s="2" t="s">
        <v>69</v>
      </c>
      <c r="D54" s="13" t="s">
        <v>152</v>
      </c>
      <c r="E54" s="1" t="s">
        <v>163</v>
      </c>
      <c r="G54" t="s">
        <v>45</v>
      </c>
      <c r="H54" s="1">
        <v>6.1</v>
      </c>
      <c r="I54" s="1" t="s">
        <v>291</v>
      </c>
      <c r="Z54" s="5"/>
      <c r="AA54" s="6"/>
    </row>
    <row r="55" spans="1:27" ht="60" x14ac:dyDescent="0.25">
      <c r="A55">
        <v>54</v>
      </c>
      <c r="B55">
        <v>1999</v>
      </c>
      <c r="C55" s="2" t="s">
        <v>66</v>
      </c>
      <c r="D55" s="13" t="s">
        <v>134</v>
      </c>
      <c r="E55" s="1" t="s">
        <v>67</v>
      </c>
      <c r="G55" t="s">
        <v>45</v>
      </c>
      <c r="H55" s="1">
        <v>6.1</v>
      </c>
      <c r="I55" s="1" t="s">
        <v>292</v>
      </c>
      <c r="Z55" s="4"/>
      <c r="AA55" s="6"/>
    </row>
    <row r="56" spans="1:27" ht="75" x14ac:dyDescent="0.25">
      <c r="A56">
        <v>55</v>
      </c>
      <c r="B56">
        <v>1995</v>
      </c>
      <c r="C56" s="2" t="s">
        <v>52</v>
      </c>
      <c r="D56" s="13" t="s">
        <v>188</v>
      </c>
      <c r="E56" s="1" t="s">
        <v>190</v>
      </c>
      <c r="F56" s="1" t="s">
        <v>189</v>
      </c>
      <c r="G56" t="s">
        <v>236</v>
      </c>
      <c r="H56" s="1">
        <v>6.3</v>
      </c>
      <c r="I56" s="1" t="s">
        <v>244</v>
      </c>
      <c r="Z56" s="5"/>
      <c r="AA56" s="6"/>
    </row>
    <row r="57" spans="1:27" ht="240" x14ac:dyDescent="0.25">
      <c r="A57">
        <v>56</v>
      </c>
      <c r="B57">
        <v>2010</v>
      </c>
      <c r="C57" s="2" t="s">
        <v>89</v>
      </c>
      <c r="D57" s="13" t="s">
        <v>119</v>
      </c>
      <c r="E57" s="1" t="s">
        <v>90</v>
      </c>
      <c r="F57" s="1" t="s">
        <v>120</v>
      </c>
      <c r="G57" t="s">
        <v>237</v>
      </c>
      <c r="H57" s="1">
        <v>2.2999999999999998</v>
      </c>
      <c r="I57" s="1" t="s">
        <v>257</v>
      </c>
      <c r="Z57" s="5"/>
      <c r="AA57" s="6"/>
    </row>
    <row r="58" spans="1:27" ht="45" x14ac:dyDescent="0.25">
      <c r="A58">
        <v>57</v>
      </c>
      <c r="B58">
        <v>2004</v>
      </c>
      <c r="C58" s="2" t="s">
        <v>121</v>
      </c>
      <c r="D58" s="13" t="s">
        <v>122</v>
      </c>
      <c r="E58" s="1" t="s">
        <v>123</v>
      </c>
      <c r="G58" t="s">
        <v>4</v>
      </c>
      <c r="H58" s="1">
        <v>6.2</v>
      </c>
      <c r="I58" s="24" t="s">
        <v>280</v>
      </c>
      <c r="Z58" s="5"/>
      <c r="AA58" s="6"/>
    </row>
    <row r="59" spans="1:27" ht="45" x14ac:dyDescent="0.25">
      <c r="A59">
        <v>58</v>
      </c>
      <c r="B59">
        <v>2011</v>
      </c>
      <c r="C59" s="2" t="s">
        <v>31</v>
      </c>
      <c r="D59" s="13" t="s">
        <v>101</v>
      </c>
      <c r="E59" s="1" t="s">
        <v>117</v>
      </c>
      <c r="G59" t="s">
        <v>4</v>
      </c>
      <c r="H59" s="1">
        <v>6.2</v>
      </c>
      <c r="I59" s="24" t="s">
        <v>280</v>
      </c>
      <c r="Z59" s="4"/>
      <c r="AA59" s="6"/>
    </row>
    <row r="60" spans="1:27" ht="90" x14ac:dyDescent="0.25">
      <c r="A60">
        <v>59</v>
      </c>
      <c r="B60">
        <v>2000</v>
      </c>
      <c r="C60" s="2" t="s">
        <v>64</v>
      </c>
      <c r="D60" s="13" t="s">
        <v>101</v>
      </c>
      <c r="E60" s="1" t="s">
        <v>160</v>
      </c>
      <c r="G60" t="s">
        <v>45</v>
      </c>
      <c r="H60" s="1">
        <v>6.1</v>
      </c>
      <c r="I60" s="1" t="s">
        <v>293</v>
      </c>
      <c r="Z60" s="4"/>
      <c r="AA60" s="6"/>
    </row>
    <row r="61" spans="1:27" ht="75" x14ac:dyDescent="0.25">
      <c r="A61">
        <v>60</v>
      </c>
      <c r="B61">
        <v>2013</v>
      </c>
      <c r="C61" s="2" t="s">
        <v>27</v>
      </c>
      <c r="D61" s="13" t="s">
        <v>103</v>
      </c>
      <c r="E61" s="1" t="s">
        <v>214</v>
      </c>
      <c r="F61" s="1" t="s">
        <v>116</v>
      </c>
      <c r="G61" t="s">
        <v>98</v>
      </c>
      <c r="H61" s="1">
        <v>2.1</v>
      </c>
      <c r="I61" s="24" t="s">
        <v>267</v>
      </c>
      <c r="Z61" s="5"/>
      <c r="AA61" s="6"/>
    </row>
    <row r="62" spans="1:27" ht="105" x14ac:dyDescent="0.25">
      <c r="A62">
        <v>61</v>
      </c>
      <c r="B62">
        <v>2015</v>
      </c>
      <c r="C62" s="2" t="s">
        <v>16</v>
      </c>
      <c r="D62" s="13" t="s">
        <v>107</v>
      </c>
      <c r="E62" s="1" t="s">
        <v>126</v>
      </c>
      <c r="G62" t="s">
        <v>98</v>
      </c>
      <c r="H62" s="1">
        <v>2.1</v>
      </c>
      <c r="I62" s="1" t="s">
        <v>298</v>
      </c>
      <c r="Z62" s="4"/>
      <c r="AA62" s="6"/>
    </row>
    <row r="63" spans="1:27" ht="105" x14ac:dyDescent="0.25">
      <c r="A63">
        <v>62</v>
      </c>
      <c r="B63">
        <v>2015</v>
      </c>
      <c r="C63" s="2" t="s">
        <v>12</v>
      </c>
      <c r="D63" s="13" t="s">
        <v>105</v>
      </c>
      <c r="E63" s="1" t="s">
        <v>13</v>
      </c>
      <c r="G63" t="s">
        <v>98</v>
      </c>
      <c r="H63" s="1">
        <v>2.1</v>
      </c>
      <c r="I63" s="1" t="s">
        <v>298</v>
      </c>
      <c r="Z63" s="5"/>
      <c r="AA63" s="6"/>
    </row>
    <row r="64" spans="1:27" ht="105" x14ac:dyDescent="0.25">
      <c r="A64">
        <v>63</v>
      </c>
      <c r="B64">
        <v>2015</v>
      </c>
      <c r="C64" s="2" t="s">
        <v>11</v>
      </c>
      <c r="D64" s="13" t="s">
        <v>102</v>
      </c>
      <c r="E64" s="1" t="s">
        <v>104</v>
      </c>
      <c r="G64" t="s">
        <v>98</v>
      </c>
      <c r="H64" s="1">
        <v>2.1</v>
      </c>
      <c r="I64" s="1" t="s">
        <v>298</v>
      </c>
      <c r="Z64" s="4"/>
      <c r="AA64" s="6"/>
    </row>
    <row r="65" spans="1:27" ht="105" x14ac:dyDescent="0.25">
      <c r="A65">
        <v>64</v>
      </c>
      <c r="B65">
        <v>2015</v>
      </c>
      <c r="C65" s="2" t="s">
        <v>7</v>
      </c>
      <c r="D65" s="13" t="s">
        <v>103</v>
      </c>
      <c r="E65" s="1" t="s">
        <v>8</v>
      </c>
      <c r="G65" t="s">
        <v>98</v>
      </c>
      <c r="H65" s="1">
        <v>2.1</v>
      </c>
      <c r="I65" s="1" t="s">
        <v>298</v>
      </c>
      <c r="Z65" s="5"/>
      <c r="AA65" s="6"/>
    </row>
    <row r="66" spans="1:27" ht="120" x14ac:dyDescent="0.25">
      <c r="A66">
        <v>65</v>
      </c>
      <c r="B66">
        <v>2013</v>
      </c>
      <c r="C66" s="2" t="s">
        <v>26</v>
      </c>
      <c r="D66" s="13" t="s">
        <v>103</v>
      </c>
      <c r="E66" s="1" t="s">
        <v>114</v>
      </c>
      <c r="F66" s="1" t="s">
        <v>115</v>
      </c>
      <c r="G66" t="s">
        <v>98</v>
      </c>
      <c r="H66" s="1">
        <v>2.2000000000000002</v>
      </c>
      <c r="I66" s="24" t="s">
        <v>268</v>
      </c>
      <c r="Z66" s="5"/>
      <c r="AA66" s="6"/>
    </row>
    <row r="67" spans="1:27" ht="30" x14ac:dyDescent="0.25">
      <c r="A67">
        <v>66</v>
      </c>
      <c r="B67">
        <v>2008</v>
      </c>
      <c r="C67" s="2" t="s">
        <v>91</v>
      </c>
      <c r="D67" s="13" t="s">
        <v>130</v>
      </c>
      <c r="E67" s="1" t="s">
        <v>92</v>
      </c>
      <c r="G67" t="s">
        <v>98</v>
      </c>
      <c r="H67" s="1">
        <v>2.2999999999999998</v>
      </c>
      <c r="I67" s="24" t="s">
        <v>266</v>
      </c>
      <c r="Z67" s="4"/>
      <c r="AA67" s="6"/>
    </row>
    <row r="68" spans="1:27" ht="60" x14ac:dyDescent="0.25">
      <c r="A68">
        <v>67</v>
      </c>
      <c r="B68">
        <v>2014</v>
      </c>
      <c r="C68" s="2" t="s">
        <v>18</v>
      </c>
      <c r="D68" s="13" t="s">
        <v>107</v>
      </c>
      <c r="E68" s="1" t="s">
        <v>88</v>
      </c>
      <c r="G68" t="s">
        <v>236</v>
      </c>
      <c r="H68" s="1">
        <v>6.3</v>
      </c>
      <c r="I68" s="1" t="s">
        <v>251</v>
      </c>
      <c r="Z68" s="4"/>
      <c r="AA68" s="6"/>
    </row>
    <row r="69" spans="1:27" ht="60" x14ac:dyDescent="0.25">
      <c r="A69">
        <v>68</v>
      </c>
      <c r="B69">
        <v>2015</v>
      </c>
      <c r="C69" s="2" t="s">
        <v>14</v>
      </c>
      <c r="D69" s="13" t="s">
        <v>106</v>
      </c>
      <c r="E69" s="1" t="s">
        <v>15</v>
      </c>
      <c r="G69" t="s">
        <v>236</v>
      </c>
      <c r="H69" s="1">
        <v>6.3</v>
      </c>
      <c r="I69" s="1" t="s">
        <v>251</v>
      </c>
      <c r="Z69" s="5"/>
      <c r="AA69" s="6"/>
    </row>
    <row r="70" spans="1:27" ht="30" x14ac:dyDescent="0.25">
      <c r="A70">
        <v>69</v>
      </c>
      <c r="B70">
        <v>2016</v>
      </c>
      <c r="C70" s="3" t="s">
        <v>23</v>
      </c>
      <c r="D70" s="13" t="s">
        <v>102</v>
      </c>
      <c r="E70" s="1" t="s">
        <v>6</v>
      </c>
      <c r="G70" t="s">
        <v>98</v>
      </c>
      <c r="H70" s="1">
        <v>2.2999999999999998</v>
      </c>
      <c r="I70" s="1" t="s">
        <v>273</v>
      </c>
      <c r="Z70" s="4"/>
      <c r="AA70" s="6"/>
    </row>
    <row r="71" spans="1:27" ht="105" x14ac:dyDescent="0.25">
      <c r="A71">
        <v>70</v>
      </c>
      <c r="B71">
        <v>2014</v>
      </c>
      <c r="C71" s="2" t="s">
        <v>19</v>
      </c>
      <c r="D71" s="13" t="s">
        <v>107</v>
      </c>
      <c r="E71" s="1" t="s">
        <v>249</v>
      </c>
      <c r="G71" t="s">
        <v>236</v>
      </c>
      <c r="H71" s="1">
        <v>7.1</v>
      </c>
      <c r="I71" s="1" t="s">
        <v>250</v>
      </c>
    </row>
    <row r="72" spans="1:27" ht="255" x14ac:dyDescent="0.25">
      <c r="A72">
        <v>71</v>
      </c>
      <c r="B72">
        <v>2013</v>
      </c>
      <c r="C72" s="3" t="s">
        <v>24</v>
      </c>
      <c r="D72" s="13" t="s">
        <v>112</v>
      </c>
      <c r="E72" s="1" t="s">
        <v>17</v>
      </c>
      <c r="F72" s="1" t="s">
        <v>113</v>
      </c>
      <c r="G72" t="s">
        <v>98</v>
      </c>
      <c r="H72" s="1">
        <v>3.1</v>
      </c>
      <c r="I72" s="24" t="s">
        <v>269</v>
      </c>
    </row>
    <row r="73" spans="1:27" ht="105" x14ac:dyDescent="0.25">
      <c r="A73">
        <v>72</v>
      </c>
      <c r="B73">
        <v>2014</v>
      </c>
      <c r="C73" s="2" t="s">
        <v>25</v>
      </c>
      <c r="D73" s="13" t="s">
        <v>103</v>
      </c>
      <c r="E73" s="1" t="s">
        <v>213</v>
      </c>
      <c r="F73" s="1" t="s">
        <v>111</v>
      </c>
      <c r="G73" t="s">
        <v>98</v>
      </c>
      <c r="H73" s="1">
        <v>3.1</v>
      </c>
      <c r="I73" s="24" t="s">
        <v>270</v>
      </c>
    </row>
    <row r="74" spans="1:27" ht="165" x14ac:dyDescent="0.25">
      <c r="A74">
        <v>73</v>
      </c>
      <c r="B74">
        <v>2001</v>
      </c>
      <c r="C74" s="2" t="s">
        <v>86</v>
      </c>
      <c r="D74" s="13" t="s">
        <v>101</v>
      </c>
      <c r="E74" s="1" t="s">
        <v>87</v>
      </c>
      <c r="F74" s="1" t="s">
        <v>159</v>
      </c>
      <c r="G74" t="s">
        <v>45</v>
      </c>
      <c r="H74" s="1">
        <v>6.1</v>
      </c>
      <c r="I74" s="1" t="s">
        <v>291</v>
      </c>
    </row>
    <row r="75" spans="1:27" ht="409.5" x14ac:dyDescent="0.25">
      <c r="A75">
        <v>74</v>
      </c>
      <c r="B75">
        <v>2014</v>
      </c>
      <c r="C75" s="2" t="s">
        <v>21</v>
      </c>
      <c r="D75" s="13" t="s">
        <v>108</v>
      </c>
      <c r="E75" s="1" t="s">
        <v>109</v>
      </c>
      <c r="F75" s="1" t="s">
        <v>110</v>
      </c>
      <c r="G75" t="s">
        <v>98</v>
      </c>
      <c r="H75">
        <v>3.1</v>
      </c>
      <c r="I75" s="24" t="s">
        <v>270</v>
      </c>
    </row>
    <row r="76" spans="1:27" ht="315" x14ac:dyDescent="0.25">
      <c r="A76">
        <v>75</v>
      </c>
      <c r="B76">
        <v>2014</v>
      </c>
      <c r="C76" s="2" t="s">
        <v>20</v>
      </c>
      <c r="D76" s="13" t="s">
        <v>107</v>
      </c>
      <c r="E76" s="1" t="s">
        <v>211</v>
      </c>
      <c r="F76" s="11" t="s">
        <v>212</v>
      </c>
      <c r="G76" t="s">
        <v>98</v>
      </c>
      <c r="H76" s="1">
        <v>7.1</v>
      </c>
      <c r="I76" s="24" t="s">
        <v>271</v>
      </c>
    </row>
    <row r="77" spans="1:27" ht="60" x14ac:dyDescent="0.25">
      <c r="A77">
        <v>76</v>
      </c>
      <c r="B77">
        <v>2016</v>
      </c>
      <c r="C77" s="3" t="s">
        <v>22</v>
      </c>
      <c r="D77" s="13" t="s">
        <v>101</v>
      </c>
      <c r="E77" s="1" t="s">
        <v>272</v>
      </c>
      <c r="G77" t="s">
        <v>98</v>
      </c>
      <c r="H77" s="1">
        <v>7.1</v>
      </c>
      <c r="I77" s="1" t="s">
        <v>274</v>
      </c>
    </row>
  </sheetData>
  <autoFilter ref="B1:I77">
    <sortState ref="B3:I74">
      <sortCondition ref="H1:H77"/>
    </sortState>
  </autoFilter>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E21" sqref="E21"/>
    </sheetView>
  </sheetViews>
  <sheetFormatPr defaultRowHeight="15" x14ac:dyDescent="0.25"/>
  <cols>
    <col min="1" max="1" width="25.5703125" customWidth="1"/>
    <col min="2" max="2" width="19" customWidth="1"/>
  </cols>
  <sheetData>
    <row r="1" spans="1:2" x14ac:dyDescent="0.25">
      <c r="A1" s="29" t="s">
        <v>329</v>
      </c>
      <c r="B1" s="29" t="s">
        <v>330</v>
      </c>
    </row>
    <row r="2" spans="1:2" x14ac:dyDescent="0.25">
      <c r="A2" t="s">
        <v>202</v>
      </c>
      <c r="B2">
        <v>13</v>
      </c>
    </row>
    <row r="3" spans="1:2" x14ac:dyDescent="0.25">
      <c r="A3" t="s">
        <v>108</v>
      </c>
      <c r="B3">
        <v>1</v>
      </c>
    </row>
    <row r="4" spans="1:2" x14ac:dyDescent="0.25">
      <c r="A4" t="s">
        <v>101</v>
      </c>
      <c r="B4">
        <v>14</v>
      </c>
    </row>
    <row r="5" spans="1:2" x14ac:dyDescent="0.25">
      <c r="A5" t="s">
        <v>131</v>
      </c>
      <c r="B5">
        <v>1</v>
      </c>
    </row>
    <row r="6" spans="1:2" x14ac:dyDescent="0.25">
      <c r="A6" t="s">
        <v>177</v>
      </c>
      <c r="B6">
        <v>1</v>
      </c>
    </row>
    <row r="7" spans="1:2" x14ac:dyDescent="0.25">
      <c r="A7" t="s">
        <v>188</v>
      </c>
      <c r="B7">
        <v>3</v>
      </c>
    </row>
    <row r="8" spans="1:2" x14ac:dyDescent="0.25">
      <c r="A8" t="s">
        <v>102</v>
      </c>
      <c r="B8">
        <v>3</v>
      </c>
    </row>
    <row r="9" spans="1:2" x14ac:dyDescent="0.25">
      <c r="A9" t="s">
        <v>148</v>
      </c>
      <c r="B9">
        <v>2</v>
      </c>
    </row>
    <row r="10" spans="1:2" x14ac:dyDescent="0.25">
      <c r="A10" t="s">
        <v>327</v>
      </c>
      <c r="B10">
        <v>4</v>
      </c>
    </row>
    <row r="11" spans="1:2" x14ac:dyDescent="0.25">
      <c r="A11" t="s">
        <v>103</v>
      </c>
      <c r="B11">
        <v>6</v>
      </c>
    </row>
    <row r="12" spans="1:2" x14ac:dyDescent="0.25">
      <c r="A12" t="s">
        <v>328</v>
      </c>
      <c r="B12">
        <v>1</v>
      </c>
    </row>
    <row r="13" spans="1:2" x14ac:dyDescent="0.25">
      <c r="A13" t="s">
        <v>158</v>
      </c>
      <c r="B13">
        <v>1</v>
      </c>
    </row>
    <row r="14" spans="1:2" x14ac:dyDescent="0.25">
      <c r="A14" t="s">
        <v>152</v>
      </c>
      <c r="B14">
        <v>5</v>
      </c>
    </row>
    <row r="15" spans="1:2" x14ac:dyDescent="0.25">
      <c r="A15" t="s">
        <v>138</v>
      </c>
      <c r="B15">
        <v>1</v>
      </c>
    </row>
    <row r="16" spans="1:2" x14ac:dyDescent="0.25">
      <c r="A16" t="s">
        <v>135</v>
      </c>
      <c r="B16">
        <v>5</v>
      </c>
    </row>
    <row r="17" spans="1:2" x14ac:dyDescent="0.25">
      <c r="A17" t="s">
        <v>122</v>
      </c>
      <c r="B17">
        <v>2</v>
      </c>
    </row>
    <row r="18" spans="1:2" x14ac:dyDescent="0.25">
      <c r="A18" t="s">
        <v>169</v>
      </c>
      <c r="B18">
        <v>2</v>
      </c>
    </row>
    <row r="19" spans="1:2" x14ac:dyDescent="0.25">
      <c r="A19" t="s">
        <v>140</v>
      </c>
      <c r="B19">
        <v>1</v>
      </c>
    </row>
    <row r="20" spans="1:2" x14ac:dyDescent="0.25">
      <c r="A20" t="s">
        <v>129</v>
      </c>
      <c r="B20">
        <v>1</v>
      </c>
    </row>
    <row r="21" spans="1:2" x14ac:dyDescent="0.25">
      <c r="A21" t="s">
        <v>119</v>
      </c>
      <c r="B21">
        <v>3</v>
      </c>
    </row>
    <row r="22" spans="1:2" x14ac:dyDescent="0.25">
      <c r="A22" t="s">
        <v>130</v>
      </c>
      <c r="B22">
        <v>6</v>
      </c>
    </row>
    <row r="23" spans="1:2" x14ac:dyDescent="0.25">
      <c r="A23" t="s">
        <v>147</v>
      </c>
      <c r="B23">
        <v>1</v>
      </c>
    </row>
    <row r="24" spans="1:2" x14ac:dyDescent="0.25">
      <c r="A24" t="s">
        <v>331</v>
      </c>
      <c r="B24">
        <v>1</v>
      </c>
    </row>
    <row r="25" spans="1:2" x14ac:dyDescent="0.25">
      <c r="A25" t="s">
        <v>209</v>
      </c>
      <c r="B25">
        <v>1</v>
      </c>
    </row>
  </sheetData>
  <autoFilter ref="A1:B1">
    <sortState ref="A2:B23">
      <sortCondition ref="A1"/>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P44" sqref="P44"/>
    </sheetView>
  </sheetViews>
  <sheetFormatPr defaultRowHeight="15" x14ac:dyDescent="0.25"/>
  <cols>
    <col min="1" max="1" width="19.28515625" customWidth="1"/>
    <col min="2" max="2" width="9.7109375" customWidth="1"/>
    <col min="3" max="3" width="11.42578125" customWidth="1"/>
    <col min="4" max="4" width="11.140625" customWidth="1"/>
    <col min="5" max="5" width="10.85546875" customWidth="1"/>
    <col min="6" max="6" width="10.140625" customWidth="1"/>
  </cols>
  <sheetData>
    <row r="1" spans="1:6" x14ac:dyDescent="0.25">
      <c r="B1" t="s">
        <v>217</v>
      </c>
      <c r="C1" t="s">
        <v>218</v>
      </c>
      <c r="D1" t="s">
        <v>219</v>
      </c>
      <c r="E1" t="s">
        <v>220</v>
      </c>
      <c r="F1" t="s">
        <v>221</v>
      </c>
    </row>
    <row r="2" spans="1:6" x14ac:dyDescent="0.25">
      <c r="A2">
        <v>1.1000000000000001</v>
      </c>
      <c r="B2">
        <f>COUNTIF('Data- Events'!H:H, 1.1)</f>
        <v>0</v>
      </c>
      <c r="C2">
        <f>COUNTIFS('Data- Events'!B:B, "&lt;=1999", 'Data- Events'!B:B, "&gt;=1994", 'Data- Events'!H:H, 1.1)</f>
        <v>0</v>
      </c>
      <c r="D2">
        <f>COUNTIFS('Data- Events'!B:B, "&lt;=2005", 'Data- Events'!B:B, "&gt;=2000", 'Data- Events'!H:H, 1.1)</f>
        <v>0</v>
      </c>
      <c r="E2">
        <f>COUNTIFS('Data- Events'!B:B, "&lt;=2010", 'Data- Events'!B:B, "&gt;=2006", 'Data- Events'!H:H, 1.1)</f>
        <v>0</v>
      </c>
      <c r="F2">
        <f>COUNTIFS('Data- Events'!B:B, "&lt;=2016", 'Data- Events'!B:B, "&gt;=2011", 'Data- Events'!H:H, 1.1)</f>
        <v>0</v>
      </c>
    </row>
    <row r="3" spans="1:6" x14ac:dyDescent="0.25">
      <c r="A3">
        <v>1.2</v>
      </c>
      <c r="B3">
        <f>COUNTIF('Data- Events'!H:H, 1.2)</f>
        <v>2</v>
      </c>
      <c r="C3">
        <f>COUNTIFS('Data- Events'!B:B, "&lt;=1999", 'Data- Events'!B:B, "&gt;=1994", 'Data- Events'!H:H, 1.2)</f>
        <v>1</v>
      </c>
      <c r="D3">
        <f>COUNTIFS('Data- Events'!B:B, "&lt;=2005", 'Data- Events'!B:B, "&gt;=2000", 'Data- Events'!H:H, 1.2)</f>
        <v>0</v>
      </c>
      <c r="E3">
        <f>COUNTIFS('Data- Events'!B:B, "&lt;=2010", 'Data- Events'!B:B, "&gt;=2006", 'Data- Events'!H:H, 1.2)</f>
        <v>1</v>
      </c>
      <c r="F3">
        <f>COUNTIFS('Data- Events'!B:B, "&lt;=2016", 'Data- Events'!B:B, "&gt;=2011", 'Data- Events'!H:H, 1.2)</f>
        <v>0</v>
      </c>
    </row>
    <row r="4" spans="1:6" x14ac:dyDescent="0.25">
      <c r="A4">
        <v>1.3</v>
      </c>
      <c r="B4">
        <f>COUNTIF('Data- Events'!H:H, 1.31)</f>
        <v>0</v>
      </c>
      <c r="C4">
        <f>COUNTIFS('Data- Events'!B:B, "&lt;=1999", 'Data- Events'!B:B, "&gt;=1994", 'Data- Events'!H:H, 1.3)</f>
        <v>0</v>
      </c>
      <c r="D4">
        <f>COUNTIFS('Data- Events'!B:B, "&lt;=2005", 'Data- Events'!B:B, "&gt;=2000", 'Data- Events'!H:H, 1.3)</f>
        <v>0</v>
      </c>
      <c r="E4">
        <f>COUNTIFS('Data- Events'!B:B, "&lt;=2010", 'Data- Events'!B:B, "&gt;=2006", 'Data- Events'!H:H, 1.3)</f>
        <v>0</v>
      </c>
      <c r="F4">
        <f>COUNTIFS('Data- Events'!B:B, "&lt;=2016", 'Data- Events'!B:B, "&gt;=2011", 'Data- Events'!H:H, 1.3)</f>
        <v>0</v>
      </c>
    </row>
    <row r="5" spans="1:6" x14ac:dyDescent="0.25">
      <c r="A5">
        <v>2.1</v>
      </c>
      <c r="B5">
        <f>COUNTIF('Data- Events'!H:H, 2.1)</f>
        <v>9</v>
      </c>
      <c r="C5">
        <f>COUNTIFS('Data- Events'!B:B, "&lt;=1999", 'Data- Events'!B:B, "&gt;=1994", 'Data- Events'!H:H, 2.1)</f>
        <v>1</v>
      </c>
      <c r="D5">
        <f>COUNTIFS('Data- Events'!B:B, "&lt;=2005", 'Data- Events'!B:B, "&gt;=2000", 'Data- Events'!H:H, 2.1)</f>
        <v>1</v>
      </c>
      <c r="E5">
        <f>COUNTIFS('Data- Events'!B:B, "&lt;=2010", 'Data- Events'!B:B, "&gt;=2006", 'Data- Events'!H:H, 2.1)</f>
        <v>2</v>
      </c>
      <c r="F5">
        <f>COUNTIFS('Data- Events'!B:B, "&lt;=2016", 'Data- Events'!B:B, "&gt;=2011", 'Data- Events'!H:H, 2.1)</f>
        <v>5</v>
      </c>
    </row>
    <row r="6" spans="1:6" x14ac:dyDescent="0.25">
      <c r="A6">
        <v>2.2000000000000002</v>
      </c>
      <c r="B6">
        <f>COUNTIF('Data- Events'!H:H, 2.2)</f>
        <v>2</v>
      </c>
      <c r="C6">
        <f>COUNTIFS('Data- Events'!B:B, "&lt;=1999", 'Data- Events'!B:B, "&gt;=1994", 'Data- Events'!H:H, 2.2)</f>
        <v>0</v>
      </c>
      <c r="D6">
        <f>COUNTIFS('Data- Events'!B:B, "&lt;=2005", 'Data- Events'!B:B, "&gt;=2000", 'Data- Events'!H:H, 2.2)</f>
        <v>0</v>
      </c>
      <c r="E6">
        <f>COUNTIFS('Data- Events'!B:B, "&lt;=2010", 'Data- Events'!B:B, "&gt;=2006", 'Data- Events'!H:H, 2.2)</f>
        <v>1</v>
      </c>
      <c r="F6">
        <f>COUNTIFS('Data- Events'!B:B, "&lt;=2016", 'Data- Events'!B:B, "&gt;=2011", 'Data- Events'!H:H, 2.2)</f>
        <v>1</v>
      </c>
    </row>
    <row r="7" spans="1:6" x14ac:dyDescent="0.25">
      <c r="A7">
        <v>2.2999999999999998</v>
      </c>
      <c r="B7">
        <f>COUNTIF('Data- Events'!H:H, 2.3)</f>
        <v>6</v>
      </c>
      <c r="C7">
        <f>COUNTIFS('Data- Events'!B:B, "&lt;=1999", 'Data- Events'!B:B, "&gt;=1994", 'Data- Events'!H:H, 2.3)</f>
        <v>1</v>
      </c>
      <c r="D7">
        <f>COUNTIFS('Data- Events'!B:B, "&lt;=2005", 'Data- Events'!B:B, "&gt;=2000", 'Data- Events'!H:H, 2.3)</f>
        <v>1</v>
      </c>
      <c r="E7">
        <f>COUNTIFS('Data- Events'!B:B, "&lt;=2010", 'Data- Events'!B:B, "&gt;=2006", 'Data- Events'!H:H, 2.3)</f>
        <v>3</v>
      </c>
      <c r="F7">
        <f>COUNTIFS('Data- Events'!B:B, "&lt;=2016", 'Data- Events'!B:B, "&gt;=2011", 'Data- Events'!H:H, 2.3)</f>
        <v>1</v>
      </c>
    </row>
    <row r="8" spans="1:6" x14ac:dyDescent="0.25">
      <c r="A8">
        <v>3.1</v>
      </c>
      <c r="B8">
        <f>COUNTIF('Data- Events'!H:H, 3.1)</f>
        <v>8</v>
      </c>
      <c r="C8">
        <f>COUNTIFS('Data- Events'!B:B, "&lt;=1999", 'Data- Events'!B:B, "&gt;=1994", 'Data- Events'!H:H, 3.1)</f>
        <v>3</v>
      </c>
      <c r="D8">
        <f>COUNTIFS('Data- Events'!B:B, "&lt;=2005", 'Data- Events'!B:B, "&gt;=2000", 'Data- Events'!H:H, 3.1)</f>
        <v>1</v>
      </c>
      <c r="E8">
        <f>COUNTIFS('Data- Events'!B:B, "&lt;=2010", 'Data- Events'!B:B, "&gt;=2006", 'Data- Events'!H:H, 3.1)</f>
        <v>0</v>
      </c>
      <c r="F8">
        <f>COUNTIFS('Data- Events'!B:B, "&lt;=2016", 'Data- Events'!B:B, "&gt;=2011", 'Data- Events'!H:H, 3.1)</f>
        <v>4</v>
      </c>
    </row>
    <row r="9" spans="1:6" x14ac:dyDescent="0.25">
      <c r="A9">
        <v>3.2</v>
      </c>
      <c r="B9">
        <f>COUNTIF('Data- Events'!H:H, 3.2)</f>
        <v>0</v>
      </c>
      <c r="C9">
        <f>COUNTIFS('Data- Events'!B:B, "&lt;=1999", 'Data- Events'!B:B, "&gt;=1994", 'Data- Events'!H:H, 3.2)</f>
        <v>0</v>
      </c>
      <c r="D9">
        <f>COUNTIFS('Data- Events'!B:B, "&lt;=2005", 'Data- Events'!B:B, "&gt;=2000", 'Data- Events'!H:H, 3.2)</f>
        <v>0</v>
      </c>
      <c r="E9">
        <f>COUNTIFS('Data- Events'!B:B, "&lt;=2010", 'Data- Events'!B:B, "&gt;=2006", 'Data- Events'!H:H, 3.2)</f>
        <v>0</v>
      </c>
      <c r="F9">
        <f>COUNTIFS('Data- Events'!B:B, "&lt;=2016", 'Data- Events'!B:B, "&gt;=2011", 'Data- Events'!H:H, 3.2)</f>
        <v>0</v>
      </c>
    </row>
    <row r="10" spans="1:6" x14ac:dyDescent="0.25">
      <c r="A10">
        <v>3.3</v>
      </c>
      <c r="B10">
        <f>COUNTIF('Data- Events'!H:H, 3.3)</f>
        <v>3</v>
      </c>
      <c r="C10">
        <f>COUNTIFS('Data- Events'!B:B, "&lt;=1999", 'Data- Events'!B:B, "&gt;=1994", 'Data- Events'!H:H, 3.3)</f>
        <v>2</v>
      </c>
      <c r="D10">
        <f>COUNTIFS('Data- Events'!B:B, "&lt;=2005", 'Data- Events'!B:B, "&gt;=2000", 'Data- Events'!H:H, 3.3)</f>
        <v>0</v>
      </c>
      <c r="E10">
        <f>COUNTIFS('Data- Events'!B:B, "&lt;=2010", 'Data- Events'!B:B, "&gt;=2006", 'Data- Events'!H:H, 3.3)</f>
        <v>1</v>
      </c>
      <c r="F10">
        <f>COUNTIFS('Data- Events'!B:B, "&lt;=2016", 'Data- Events'!B:B, "&gt;=2011", 'Data- Events'!H:H, 3.3)</f>
        <v>0</v>
      </c>
    </row>
    <row r="11" spans="1:6" x14ac:dyDescent="0.25">
      <c r="A11">
        <v>4.0999999999999996</v>
      </c>
      <c r="B11">
        <f>COUNTIF('Data- Events'!H:H, 4.1)</f>
        <v>0</v>
      </c>
      <c r="C11">
        <f>COUNTIFS('Data- Events'!B:B, "&lt;=1999", 'Data- Events'!B:B, "&gt;=1994", 'Data- Events'!H:H, 4.1)</f>
        <v>0</v>
      </c>
      <c r="D11">
        <f>COUNTIFS('Data- Events'!B:B, "&lt;=2005", 'Data- Events'!B:B, "&gt;=2000", 'Data- Events'!H:H, 4.1)</f>
        <v>0</v>
      </c>
      <c r="E11">
        <f>COUNTIFS('Data- Events'!B:B, "&lt;=2010", 'Data- Events'!B:B, "&gt;=2006", 'Data- Events'!H:H, 4.1)</f>
        <v>0</v>
      </c>
      <c r="F11">
        <f>COUNTIFS('Data- Events'!B:B, "&lt;=2016", 'Data- Events'!B:B, "&gt;=2011", 'Data- Events'!H:H, 4.1)</f>
        <v>0</v>
      </c>
    </row>
    <row r="12" spans="1:6" x14ac:dyDescent="0.25">
      <c r="A12">
        <v>4.2</v>
      </c>
      <c r="B12">
        <f>COUNTIF('Data- Events'!H:H, 4.2)</f>
        <v>0</v>
      </c>
      <c r="C12">
        <f>COUNTIFS('Data- Events'!B:B, "&lt;=1999", 'Data- Events'!B:B, "&gt;=1994", 'Data- Events'!H:H, 4.2)</f>
        <v>0</v>
      </c>
      <c r="D12">
        <f>COUNTIFS('Data- Events'!B:B, "&lt;=2005", 'Data- Events'!B:B, "&gt;=2000", 'Data- Events'!H:H, 4.2)</f>
        <v>0</v>
      </c>
      <c r="E12">
        <f>COUNTIFS('Data- Events'!B:B, "&lt;=2010", 'Data- Events'!B:B, "&gt;=2006", 'Data- Events'!H:H, 4.2)</f>
        <v>0</v>
      </c>
      <c r="F12">
        <f>COUNTIFS('Data- Events'!B:B, "&lt;=2016", 'Data- Events'!B:B, "&gt;=2011", 'Data- Events'!H:H, 4.2)</f>
        <v>0</v>
      </c>
    </row>
    <row r="13" spans="1:6" x14ac:dyDescent="0.25">
      <c r="A13">
        <v>4.3</v>
      </c>
      <c r="B13">
        <f>COUNTIF('Data- Events'!H:H, 4.3)</f>
        <v>2</v>
      </c>
      <c r="C13">
        <f>COUNTIFS('Data- Events'!B:B, "&lt;=1999", 'Data- Events'!B:B, "&gt;=1994", 'Data- Events'!H:H, 4.3)</f>
        <v>1</v>
      </c>
      <c r="D13">
        <f>COUNTIFS('Data- Events'!B:B, "&lt;=2005", 'Data- Events'!B:B, "&gt;=2000", 'Data- Events'!H:H, 4.3)</f>
        <v>0</v>
      </c>
      <c r="E13">
        <f>COUNTIFS('Data- Events'!B:B, "&lt;=2010", 'Data- Events'!B:B, "&gt;=2006", 'Data- Events'!H:H, 4.3)</f>
        <v>1</v>
      </c>
      <c r="F13">
        <f>COUNTIFS('Data- Events'!B:B, "&lt;=2016", 'Data- Events'!B:B, "&gt;=2011", 'Data- Events'!H:H, 4.3)</f>
        <v>0</v>
      </c>
    </row>
    <row r="14" spans="1:6" x14ac:dyDescent="0.25">
      <c r="A14">
        <v>5.0999999999999996</v>
      </c>
      <c r="B14">
        <f>COUNTIF('Data- Events'!H:H, 5.1)</f>
        <v>0</v>
      </c>
      <c r="C14">
        <f>COUNTIFS('Data- Events'!B:B, "&lt;=1999", 'Data- Events'!B:B, "&gt;=1994", 'Data- Events'!H:H, 5.1)</f>
        <v>0</v>
      </c>
      <c r="D14">
        <f>COUNTIFS('Data- Events'!B:B, "&lt;=2005", 'Data- Events'!B:B, "&gt;=2000", 'Data- Events'!H:H, 5.1)</f>
        <v>0</v>
      </c>
      <c r="E14">
        <f>COUNTIFS('Data- Events'!B:B, "&lt;=2010", 'Data- Events'!B:B, "&gt;=2006", 'Data- Events'!H:H, 5.1)</f>
        <v>0</v>
      </c>
      <c r="F14">
        <f>COUNTIFS('Data- Events'!B:B, "&lt;=2016", 'Data- Events'!B:B, "&gt;=2011", 'Data- Events'!H:H, 5.1)</f>
        <v>0</v>
      </c>
    </row>
    <row r="15" spans="1:6" x14ac:dyDescent="0.25">
      <c r="A15">
        <v>5.2</v>
      </c>
      <c r="B15">
        <f>COUNTIF('Data- Events'!H:H, 5.2)</f>
        <v>0</v>
      </c>
      <c r="C15">
        <f>COUNTIFS('Data- Events'!B:B, "&lt;=1999", 'Data- Events'!B:B, "&gt;=1994", 'Data- Events'!H:H, 5.2)</f>
        <v>0</v>
      </c>
      <c r="D15">
        <f>COUNTIFS('Data- Events'!B:B, "&lt;=2005", 'Data- Events'!B:B, "&gt;=2000", 'Data- Events'!H:H, 5.2)</f>
        <v>0</v>
      </c>
      <c r="E15">
        <f>COUNTIFS('Data- Events'!B:B, "&lt;=2010", 'Data- Events'!B:B, "&gt;=2006", 'Data- Events'!H:H, 5.2)</f>
        <v>0</v>
      </c>
      <c r="F15">
        <f>COUNTIFS('Data- Events'!B:B, "&lt;=2016", 'Data- Events'!B:B, "&gt;=2011", 'Data- Events'!H:H, 5.2)</f>
        <v>0</v>
      </c>
    </row>
    <row r="16" spans="1:6" x14ac:dyDescent="0.25">
      <c r="A16">
        <v>6.1</v>
      </c>
      <c r="B16">
        <f>COUNTIF('Data- Events'!H:H, 6.1)</f>
        <v>17</v>
      </c>
      <c r="C16">
        <f>COUNTIFS('Data- Events'!B:B, "&lt;=1999", 'Data- Events'!B:B, "&gt;=1994", 'Data- Events'!H:H, 6.1)</f>
        <v>13</v>
      </c>
      <c r="D16">
        <f>COUNTIFS('Data- Events'!B:B, "&lt;=2005", 'Data- Events'!B:B, "&gt;=2000", 'Data- Events'!H:H, 6.1)</f>
        <v>3</v>
      </c>
      <c r="E16">
        <f>COUNTIFS('Data- Events'!B:B, "&lt;=2010", 'Data- Events'!B:B, "&gt;=2006", 'Data- Events'!H:H, 6.1)</f>
        <v>1</v>
      </c>
      <c r="F16">
        <f>COUNTIFS('Data- Events'!B:B, "&lt;=2016", 'Data- Events'!B:B, "&gt;=2011", 'Data- Events'!H:H, 6.1)</f>
        <v>0</v>
      </c>
    </row>
    <row r="17" spans="1:6" x14ac:dyDescent="0.25">
      <c r="A17">
        <v>6.2</v>
      </c>
      <c r="B17">
        <f>COUNTIF('Data- Events'!H:H, 6.2)</f>
        <v>4</v>
      </c>
      <c r="C17">
        <f>COUNTIFS('Data- Events'!B:B, "&lt;=1999", 'Data- Events'!B:B, "&gt;=1994", 'Data- Events'!H:H, 6.2)</f>
        <v>1</v>
      </c>
      <c r="D17">
        <f>COUNTIFS('Data- Events'!B:B, "&lt;=2005", 'Data- Events'!B:B, "&gt;=2000", 'Data- Events'!H:H, 6.2)</f>
        <v>2</v>
      </c>
      <c r="E17">
        <f>COUNTIFS('Data- Events'!B:B, "&lt;=2010", 'Data- Events'!B:B, "&gt;=2006", 'Data- Events'!H:H, 6.2)</f>
        <v>0</v>
      </c>
      <c r="F17">
        <f>COUNTIFS('Data- Events'!B:B, "&lt;=2016", 'Data- Events'!B:B, "&gt;=2011", 'Data- Events'!H:H, 6.2)</f>
        <v>1</v>
      </c>
    </row>
    <row r="18" spans="1:6" x14ac:dyDescent="0.25">
      <c r="A18">
        <v>6.3</v>
      </c>
      <c r="B18">
        <f>COUNTIF('Data- Events'!H:H, 6.3)</f>
        <v>3</v>
      </c>
      <c r="C18">
        <f>COUNTIFS('Data- Events'!B:B, "&lt;=1999", 'Data- Events'!B:B, "&gt;=1994", 'Data- Events'!H:H, 6.3)</f>
        <v>1</v>
      </c>
      <c r="D18">
        <f>COUNTIFS('Data- Events'!B:B, "&lt;=2005", 'Data- Events'!B:B, "&gt;=2000", 'Data- Events'!H:H, 6.3)</f>
        <v>0</v>
      </c>
      <c r="E18">
        <f>COUNTIFS('Data- Events'!B:B, "&lt;=2010", 'Data- Events'!B:B, "&gt;=2006", 'Data- Events'!H:H, 6.3)</f>
        <v>0</v>
      </c>
      <c r="F18">
        <f>COUNTIFS('Data- Events'!B:B, "&lt;=2016", 'Data- Events'!B:B, "&gt;=2011", 'Data- Events'!H:H, 6.3)</f>
        <v>2</v>
      </c>
    </row>
    <row r="19" spans="1:6" x14ac:dyDescent="0.25">
      <c r="A19">
        <v>7.1</v>
      </c>
      <c r="B19">
        <f>COUNTIF('Data- Events'!H:H, 7.1)</f>
        <v>3</v>
      </c>
      <c r="C19">
        <f>COUNTIFS('Data- Events'!B:B, "&lt;=1999", 'Data- Events'!B:B, "&gt;=1994", 'Data- Events'!H:H, 7.1)</f>
        <v>0</v>
      </c>
      <c r="D19">
        <f>COUNTIFS('Data- Events'!B:B, "&lt;=2005", 'Data- Events'!B:B, "&gt;=2000", 'Data- Events'!H:H, 7.1)</f>
        <v>0</v>
      </c>
      <c r="E19">
        <f>COUNTIFS('Data- Events'!B:B, "&lt;=2010", 'Data- Events'!B:B, "&gt;=2006", 'Data- Events'!H:H, 7.1)</f>
        <v>0</v>
      </c>
      <c r="F19">
        <f>COUNTIFS('Data- Events'!B:B, "&lt;=2016", 'Data- Events'!B:B, "&gt;=2011", 'Data- Events'!H:H, 7.1)</f>
        <v>3</v>
      </c>
    </row>
    <row r="20" spans="1:6" x14ac:dyDescent="0.25">
      <c r="A20">
        <v>0</v>
      </c>
      <c r="B20">
        <f>COUNTIF('Data- Events'!H:H, 0)</f>
        <v>17</v>
      </c>
      <c r="C20">
        <f>COUNTIFS('Data- Events'!B:B, "&lt;=1999", 'Data- Events'!B:B, "&gt;=1994", 'Data- Events'!H:H, 0)</f>
        <v>7</v>
      </c>
      <c r="D20">
        <f>COUNTIFS('Data- Events'!B:B, "&lt;=2005", 'Data- Events'!B:B, "&gt;=2000", 'Data- Events'!H:H, 0)</f>
        <v>3</v>
      </c>
      <c r="E20">
        <f>COUNTIFS('Data- Events'!B:B, "&lt;=2010", 'Data- Events'!B:B, "&gt;=2006", 'Data- Events'!H:H, 0)</f>
        <v>4</v>
      </c>
      <c r="F20">
        <f>COUNTIFS('Data- Events'!B:B, "&lt;=2016", 'Data- Events'!B:B, "&gt;=2011", 'Data- Events'!H:H, 0)</f>
        <v>3</v>
      </c>
    </row>
    <row r="21" spans="1:6" ht="45" x14ac:dyDescent="0.25">
      <c r="A21" s="20" t="s">
        <v>223</v>
      </c>
      <c r="B21" s="19">
        <f>SUM(B2:B20)</f>
        <v>76</v>
      </c>
      <c r="C21" s="19">
        <f t="shared" ref="C21:F21" si="0">SUM(C2:C20)</f>
        <v>31</v>
      </c>
      <c r="D21" s="19">
        <f t="shared" si="0"/>
        <v>11</v>
      </c>
      <c r="E21" s="19">
        <f t="shared" si="0"/>
        <v>14</v>
      </c>
      <c r="F21" s="19">
        <f t="shared" si="0"/>
        <v>20</v>
      </c>
    </row>
    <row r="22" spans="1:6" x14ac:dyDescent="0.25">
      <c r="A22" s="21"/>
      <c r="B22" s="9"/>
      <c r="C22" s="9"/>
      <c r="D22" s="9"/>
      <c r="E22" s="9"/>
      <c r="F22" s="9"/>
    </row>
    <row r="23" spans="1:6" x14ac:dyDescent="0.25">
      <c r="A23" s="21"/>
      <c r="B23" s="9"/>
      <c r="C23" s="9"/>
      <c r="D23" s="9"/>
      <c r="E23" s="9"/>
      <c r="F23" s="9"/>
    </row>
    <row r="24" spans="1:6" x14ac:dyDescent="0.25">
      <c r="A24" s="19" t="s">
        <v>224</v>
      </c>
      <c r="B24" s="19">
        <f>SUM(B2:B10)</f>
        <v>30</v>
      </c>
      <c r="C24" s="19">
        <f t="shared" ref="C24:F24" si="1">SUM(C2:C10)</f>
        <v>8</v>
      </c>
      <c r="D24" s="19">
        <f t="shared" si="1"/>
        <v>3</v>
      </c>
      <c r="E24" s="19">
        <f t="shared" si="1"/>
        <v>8</v>
      </c>
      <c r="F24" s="19">
        <f t="shared" si="1"/>
        <v>11</v>
      </c>
    </row>
    <row r="25" spans="1:6" x14ac:dyDescent="0.25">
      <c r="A25" s="19" t="s">
        <v>225</v>
      </c>
      <c r="B25" s="19">
        <f>SUM(B11:B19)</f>
        <v>29</v>
      </c>
      <c r="C25" s="19">
        <f t="shared" ref="C25:F25" si="2">SUM(C11:C19)</f>
        <v>16</v>
      </c>
      <c r="D25" s="19">
        <f t="shared" si="2"/>
        <v>5</v>
      </c>
      <c r="E25" s="19">
        <f t="shared" si="2"/>
        <v>2</v>
      </c>
      <c r="F25" s="19">
        <f t="shared" si="2"/>
        <v>6</v>
      </c>
    </row>
    <row r="26" spans="1:6" x14ac:dyDescent="0.25">
      <c r="A26" s="24" t="s">
        <v>233</v>
      </c>
      <c r="B26" s="25">
        <f>(B24/B21)</f>
        <v>0.39473684210526316</v>
      </c>
      <c r="C26" s="25">
        <f t="shared" ref="C26:F26" si="3">(C24/C21)</f>
        <v>0.25806451612903225</v>
      </c>
      <c r="D26" s="25">
        <f t="shared" si="3"/>
        <v>0.27272727272727271</v>
      </c>
      <c r="E26" s="25">
        <f t="shared" si="3"/>
        <v>0.5714285714285714</v>
      </c>
      <c r="F26" s="25">
        <f t="shared" si="3"/>
        <v>0.55000000000000004</v>
      </c>
    </row>
    <row r="27" spans="1:6" x14ac:dyDescent="0.25">
      <c r="A27" s="24" t="s">
        <v>234</v>
      </c>
      <c r="B27" s="25">
        <f>(B25/B21)</f>
        <v>0.38157894736842107</v>
      </c>
      <c r="C27" s="25">
        <f t="shared" ref="C27:F27" si="4">(C25/C21)</f>
        <v>0.5161290322580645</v>
      </c>
      <c r="D27" s="25">
        <f t="shared" si="4"/>
        <v>0.45454545454545453</v>
      </c>
      <c r="E27" s="25">
        <f t="shared" si="4"/>
        <v>0.14285714285714285</v>
      </c>
      <c r="F27" s="25">
        <f t="shared" si="4"/>
        <v>0.3</v>
      </c>
    </row>
    <row r="28" spans="1:6" x14ac:dyDescent="0.25">
      <c r="A28" s="24" t="s">
        <v>235</v>
      </c>
      <c r="B28" s="26">
        <f>(B20/B21)</f>
        <v>0.22368421052631579</v>
      </c>
      <c r="C28" s="26">
        <f t="shared" ref="C28:F28" si="5">(C20/C21)</f>
        <v>0.22580645161290322</v>
      </c>
      <c r="D28" s="26">
        <f t="shared" si="5"/>
        <v>0.27272727272727271</v>
      </c>
      <c r="E28" s="26">
        <f t="shared" si="5"/>
        <v>0.2857142857142857</v>
      </c>
      <c r="F28" s="26">
        <f t="shared" si="5"/>
        <v>0.15</v>
      </c>
    </row>
    <row r="30" spans="1:6" x14ac:dyDescent="0.25">
      <c r="A30" s="19" t="s">
        <v>224</v>
      </c>
      <c r="B30" s="19">
        <f>SUM(B2:B10)</f>
        <v>30</v>
      </c>
      <c r="C30" s="23">
        <f t="shared" ref="C30:F30" si="6">SUM(C2:C10)</f>
        <v>8</v>
      </c>
      <c r="D30" s="19">
        <f t="shared" si="6"/>
        <v>3</v>
      </c>
      <c r="E30" s="19">
        <f t="shared" si="6"/>
        <v>8</v>
      </c>
      <c r="F30" s="19">
        <f t="shared" si="6"/>
        <v>11</v>
      </c>
    </row>
    <row r="31" spans="1:6" x14ac:dyDescent="0.25">
      <c r="A31" s="19" t="s">
        <v>227</v>
      </c>
      <c r="B31" s="22">
        <f>(SUM(B2:B4)/B30)*100</f>
        <v>6.666666666666667</v>
      </c>
      <c r="C31" s="23">
        <f>(SUM(C2:C4)/C30)*100</f>
        <v>12.5</v>
      </c>
      <c r="D31" s="22">
        <f>(SUM(D2:D4)/D30)*100</f>
        <v>0</v>
      </c>
      <c r="E31" s="22">
        <f>(SUM(E2:E4)/E30)*100</f>
        <v>12.5</v>
      </c>
      <c r="F31" s="23">
        <f>(SUM(F2:F4)/F30)*100</f>
        <v>0</v>
      </c>
    </row>
    <row r="32" spans="1:6" x14ac:dyDescent="0.25">
      <c r="A32" s="19" t="s">
        <v>228</v>
      </c>
      <c r="B32" s="22">
        <f>(SUM(B5:B7)/B30)*100</f>
        <v>56.666666666666664</v>
      </c>
      <c r="C32" s="23">
        <f t="shared" ref="C32:F32" si="7">(SUM(C5:C7)/C30)*100</f>
        <v>25</v>
      </c>
      <c r="D32" s="22">
        <f t="shared" si="7"/>
        <v>66.666666666666657</v>
      </c>
      <c r="E32" s="22">
        <f t="shared" si="7"/>
        <v>75</v>
      </c>
      <c r="F32" s="23">
        <f t="shared" si="7"/>
        <v>63.636363636363633</v>
      </c>
    </row>
    <row r="33" spans="1:6" x14ac:dyDescent="0.25">
      <c r="A33" s="19" t="s">
        <v>229</v>
      </c>
      <c r="B33" s="22">
        <f>(SUM(B8:B10)/B30)*100</f>
        <v>36.666666666666664</v>
      </c>
      <c r="C33" s="23">
        <f t="shared" ref="C33:F33" si="8">(SUM(C8:C10)/C30)*100</f>
        <v>62.5</v>
      </c>
      <c r="D33" s="22">
        <f t="shared" si="8"/>
        <v>33.333333333333329</v>
      </c>
      <c r="E33" s="23">
        <f t="shared" si="8"/>
        <v>12.5</v>
      </c>
      <c r="F33" s="23">
        <f t="shared" si="8"/>
        <v>36.363636363636367</v>
      </c>
    </row>
    <row r="36" spans="1:6" x14ac:dyDescent="0.25">
      <c r="A36" s="19" t="s">
        <v>225</v>
      </c>
      <c r="B36" s="19">
        <f>SUM(B11:B19)</f>
        <v>29</v>
      </c>
      <c r="C36" s="19">
        <f t="shared" ref="C36:F36" si="9">SUM(C11:C19)</f>
        <v>16</v>
      </c>
      <c r="D36" s="19">
        <f t="shared" si="9"/>
        <v>5</v>
      </c>
      <c r="E36" s="19">
        <f t="shared" si="9"/>
        <v>2</v>
      </c>
      <c r="F36" s="19">
        <f t="shared" si="9"/>
        <v>6</v>
      </c>
    </row>
    <row r="37" spans="1:6" x14ac:dyDescent="0.25">
      <c r="A37" s="19" t="s">
        <v>227</v>
      </c>
      <c r="B37" s="22">
        <f>(SUM(B11:B13)/B36)*100</f>
        <v>6.8965517241379306</v>
      </c>
      <c r="C37" s="23">
        <f t="shared" ref="C37:F37" si="10">(SUM(C11:C13)/C36)*100</f>
        <v>6.25</v>
      </c>
      <c r="D37" s="23">
        <f t="shared" si="10"/>
        <v>0</v>
      </c>
      <c r="E37" s="23">
        <f t="shared" si="10"/>
        <v>50</v>
      </c>
      <c r="F37" s="23">
        <f t="shared" si="10"/>
        <v>0</v>
      </c>
    </row>
    <row r="38" spans="1:6" x14ac:dyDescent="0.25">
      <c r="A38" s="19" t="s">
        <v>230</v>
      </c>
      <c r="B38" s="22">
        <f>(SUM(B14:B15)/B36)*100</f>
        <v>0</v>
      </c>
      <c r="C38" s="23">
        <f t="shared" ref="C38:F38" si="11">(SUM(C14:C15)/C36)*100</f>
        <v>0</v>
      </c>
      <c r="D38" s="23">
        <f t="shared" si="11"/>
        <v>0</v>
      </c>
      <c r="E38" s="23">
        <f t="shared" si="11"/>
        <v>0</v>
      </c>
      <c r="F38" s="22">
        <f t="shared" si="11"/>
        <v>0</v>
      </c>
    </row>
    <row r="39" spans="1:6" x14ac:dyDescent="0.25">
      <c r="A39" s="19" t="s">
        <v>231</v>
      </c>
      <c r="B39" s="22">
        <f>(SUM(B16:B18)/B36)*100</f>
        <v>82.758620689655174</v>
      </c>
      <c r="C39" s="22">
        <f t="shared" ref="C39:F39" si="12">(SUM(C16:C18)/C36)*100</f>
        <v>93.75</v>
      </c>
      <c r="D39" s="23">
        <f t="shared" si="12"/>
        <v>100</v>
      </c>
      <c r="E39" s="23">
        <f t="shared" si="12"/>
        <v>50</v>
      </c>
      <c r="F39" s="22">
        <f t="shared" si="12"/>
        <v>50</v>
      </c>
    </row>
    <row r="40" spans="1:6" x14ac:dyDescent="0.25">
      <c r="A40" s="19" t="s">
        <v>232</v>
      </c>
      <c r="B40" s="22">
        <f>(B19/B36)*100</f>
        <v>10.344827586206897</v>
      </c>
      <c r="C40" s="22">
        <f t="shared" ref="C40:F40" si="13">(C19/C36)*100</f>
        <v>0</v>
      </c>
      <c r="D40" s="23">
        <f t="shared" si="13"/>
        <v>0</v>
      </c>
      <c r="E40" s="23">
        <f t="shared" si="13"/>
        <v>0</v>
      </c>
      <c r="F40" s="22">
        <f t="shared" si="13"/>
        <v>50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H26" sqref="H26"/>
    </sheetView>
  </sheetViews>
  <sheetFormatPr defaultRowHeight="15" x14ac:dyDescent="0.25"/>
  <cols>
    <col min="1" max="1" width="20.140625" customWidth="1"/>
    <col min="2" max="2" width="11.42578125" bestFit="1" customWidth="1"/>
    <col min="3" max="3" width="12.42578125" bestFit="1" customWidth="1"/>
    <col min="4" max="4" width="9.85546875" bestFit="1" customWidth="1"/>
    <col min="6" max="6" width="10.42578125" bestFit="1" customWidth="1"/>
    <col min="7" max="7" width="17.7109375" bestFit="1" customWidth="1"/>
    <col min="8" max="8" width="20.42578125" bestFit="1" customWidth="1"/>
  </cols>
  <sheetData>
    <row r="1" spans="1:8" x14ac:dyDescent="0.25">
      <c r="A1" s="19"/>
      <c r="B1" s="19" t="s">
        <v>3</v>
      </c>
      <c r="C1" s="19" t="s">
        <v>236</v>
      </c>
      <c r="D1" s="19" t="s">
        <v>237</v>
      </c>
      <c r="E1" s="19" t="s">
        <v>5</v>
      </c>
      <c r="F1" s="19" t="s">
        <v>98</v>
      </c>
      <c r="G1" s="19" t="s">
        <v>4</v>
      </c>
      <c r="H1" s="19" t="s">
        <v>45</v>
      </c>
    </row>
    <row r="2" spans="1:8" x14ac:dyDescent="0.25">
      <c r="A2" s="19" t="s">
        <v>319</v>
      </c>
      <c r="B2" s="19"/>
      <c r="C2" s="19">
        <v>2</v>
      </c>
      <c r="D2" s="19"/>
      <c r="E2" s="19"/>
      <c r="F2" s="19"/>
      <c r="G2" s="19"/>
      <c r="H2" s="19"/>
    </row>
    <row r="3" spans="1:8" x14ac:dyDescent="0.25">
      <c r="A3" s="19" t="s">
        <v>320</v>
      </c>
      <c r="B3" s="19">
        <v>5</v>
      </c>
      <c r="C3" s="19">
        <v>1</v>
      </c>
      <c r="D3" s="19">
        <v>2</v>
      </c>
      <c r="E3" s="19"/>
      <c r="F3" s="19">
        <v>9</v>
      </c>
      <c r="G3" s="19"/>
      <c r="H3" s="19"/>
    </row>
    <row r="4" spans="1:8" x14ac:dyDescent="0.25">
      <c r="A4" s="19" t="s">
        <v>321</v>
      </c>
      <c r="B4" s="19"/>
      <c r="C4" s="19"/>
      <c r="D4" s="19"/>
      <c r="E4" s="19"/>
      <c r="F4" s="19">
        <v>3</v>
      </c>
      <c r="G4" s="19"/>
      <c r="H4" s="19">
        <v>8</v>
      </c>
    </row>
    <row r="5" spans="1:8" x14ac:dyDescent="0.25">
      <c r="A5" s="19" t="s">
        <v>322</v>
      </c>
      <c r="B5" s="19"/>
      <c r="C5" s="19"/>
      <c r="D5" s="19"/>
      <c r="E5" s="19"/>
      <c r="F5" s="19"/>
      <c r="G5" s="19"/>
      <c r="H5" s="19">
        <v>2</v>
      </c>
    </row>
    <row r="6" spans="1:8" x14ac:dyDescent="0.25">
      <c r="A6" s="19" t="s">
        <v>323</v>
      </c>
      <c r="B6" s="19"/>
      <c r="C6" s="19"/>
      <c r="D6" s="19"/>
      <c r="E6" s="19"/>
      <c r="F6" s="19"/>
      <c r="G6" s="19"/>
      <c r="H6" s="19"/>
    </row>
    <row r="7" spans="1:8" x14ac:dyDescent="0.25">
      <c r="A7" s="19" t="s">
        <v>324</v>
      </c>
      <c r="B7" s="19">
        <v>1</v>
      </c>
      <c r="C7" s="19">
        <v>3</v>
      </c>
      <c r="D7" s="19"/>
      <c r="E7" s="19">
        <v>2</v>
      </c>
      <c r="F7" s="19"/>
      <c r="G7" s="19">
        <v>7</v>
      </c>
      <c r="H7" s="19">
        <v>11</v>
      </c>
    </row>
    <row r="8" spans="1:8" x14ac:dyDescent="0.25">
      <c r="A8" s="19" t="s">
        <v>325</v>
      </c>
      <c r="B8" s="19"/>
      <c r="C8" s="19">
        <v>1</v>
      </c>
      <c r="D8" s="19"/>
      <c r="E8" s="19"/>
      <c r="F8" s="19">
        <v>2</v>
      </c>
      <c r="G8" s="19"/>
      <c r="H8" s="19"/>
    </row>
    <row r="9" spans="1:8" x14ac:dyDescent="0.25">
      <c r="A9" s="19" t="s">
        <v>300</v>
      </c>
      <c r="B9" s="19">
        <v>2</v>
      </c>
      <c r="C9" s="19">
        <v>3</v>
      </c>
      <c r="D9" s="19"/>
      <c r="E9" s="19">
        <v>1</v>
      </c>
      <c r="F9" s="19">
        <v>6</v>
      </c>
      <c r="G9" s="19">
        <v>2</v>
      </c>
      <c r="H9" s="19">
        <v>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5"/>
  <sheetViews>
    <sheetView workbookViewId="0">
      <selection activeCell="G13" sqref="G13"/>
    </sheetView>
  </sheetViews>
  <sheetFormatPr defaultRowHeight="15" x14ac:dyDescent="0.25"/>
  <cols>
    <col min="1" max="1" width="14.42578125" customWidth="1"/>
    <col min="2" max="2" width="12.140625" customWidth="1"/>
    <col min="3" max="3" width="11" customWidth="1"/>
    <col min="4" max="4" width="9.140625" customWidth="1"/>
    <col min="6" max="6" width="18.7109375" customWidth="1"/>
    <col min="7" max="7" width="20.85546875" customWidth="1"/>
  </cols>
  <sheetData>
    <row r="1" spans="1:7" x14ac:dyDescent="0.25">
      <c r="A1" t="s">
        <v>3</v>
      </c>
      <c r="B1" t="s">
        <v>236</v>
      </c>
      <c r="C1" t="s">
        <v>237</v>
      </c>
      <c r="D1" t="s">
        <v>5</v>
      </c>
      <c r="E1" t="s">
        <v>98</v>
      </c>
      <c r="F1" t="s">
        <v>4</v>
      </c>
      <c r="G1" t="s">
        <v>45</v>
      </c>
    </row>
    <row r="2" spans="1:7" x14ac:dyDescent="0.25">
      <c r="A2" s="1">
        <v>2.1</v>
      </c>
      <c r="B2" s="1">
        <v>6.3</v>
      </c>
      <c r="C2" s="1">
        <v>2.2999999999999998</v>
      </c>
      <c r="D2" s="1">
        <v>6.1</v>
      </c>
      <c r="E2" s="1">
        <v>7.1</v>
      </c>
      <c r="F2" s="1">
        <v>6.2</v>
      </c>
      <c r="G2" s="1">
        <v>3.1</v>
      </c>
    </row>
    <row r="3" spans="1:7" x14ac:dyDescent="0.25">
      <c r="A3" s="1">
        <v>2.1</v>
      </c>
      <c r="B3" s="1">
        <v>6.3</v>
      </c>
      <c r="C3" s="1">
        <v>2.2999999999999998</v>
      </c>
      <c r="D3" s="1">
        <v>0</v>
      </c>
      <c r="E3" s="1">
        <v>2.2999999999999998</v>
      </c>
      <c r="F3" s="1">
        <v>0</v>
      </c>
      <c r="G3" s="1">
        <v>0</v>
      </c>
    </row>
    <row r="4" spans="1:7" x14ac:dyDescent="0.25">
      <c r="A4" s="1">
        <v>6.1</v>
      </c>
      <c r="B4" s="1">
        <v>7.1</v>
      </c>
      <c r="D4" s="1">
        <v>6.1</v>
      </c>
      <c r="E4" s="1">
        <v>2.1</v>
      </c>
      <c r="F4" s="1">
        <v>6.2</v>
      </c>
      <c r="G4" s="1">
        <v>4.3</v>
      </c>
    </row>
    <row r="5" spans="1:7" x14ac:dyDescent="0.25">
      <c r="A5" s="1">
        <v>2.1</v>
      </c>
      <c r="B5" s="1">
        <v>0</v>
      </c>
      <c r="E5" s="1">
        <v>2.1</v>
      </c>
      <c r="F5" s="1">
        <v>6.2</v>
      </c>
      <c r="G5" s="1">
        <v>3.3</v>
      </c>
    </row>
    <row r="6" spans="1:7" x14ac:dyDescent="0.25">
      <c r="A6" s="1">
        <v>2.2999999999999998</v>
      </c>
      <c r="B6" s="1">
        <v>1.2</v>
      </c>
      <c r="E6" s="1">
        <v>2.1</v>
      </c>
      <c r="F6" s="1">
        <v>6.1</v>
      </c>
      <c r="G6" s="1">
        <v>3.1</v>
      </c>
    </row>
    <row r="7" spans="1:7" x14ac:dyDescent="0.25">
      <c r="A7" s="1">
        <v>0</v>
      </c>
      <c r="B7" s="1">
        <v>2.2000000000000002</v>
      </c>
      <c r="E7" s="1">
        <v>2.1</v>
      </c>
      <c r="F7" s="1">
        <v>0</v>
      </c>
      <c r="G7" s="1">
        <v>6.1</v>
      </c>
    </row>
    <row r="8" spans="1:7" x14ac:dyDescent="0.25">
      <c r="A8" s="1">
        <v>2.2999999999999998</v>
      </c>
      <c r="B8" s="1">
        <v>0</v>
      </c>
      <c r="E8" s="1">
        <v>7.1</v>
      </c>
      <c r="F8" s="1">
        <v>6.2</v>
      </c>
      <c r="G8" s="1">
        <v>6.1</v>
      </c>
    </row>
    <row r="9" spans="1:7" x14ac:dyDescent="0.25">
      <c r="A9" s="1">
        <v>0</v>
      </c>
      <c r="B9" s="1">
        <v>1.2</v>
      </c>
      <c r="E9">
        <v>3.1</v>
      </c>
      <c r="F9" s="1">
        <v>6.1</v>
      </c>
      <c r="G9" s="1">
        <v>6.1</v>
      </c>
    </row>
    <row r="10" spans="1:7" x14ac:dyDescent="0.25">
      <c r="B10" s="1">
        <v>6.3</v>
      </c>
      <c r="E10" s="1">
        <v>3.1</v>
      </c>
      <c r="F10" s="1">
        <v>6.1</v>
      </c>
      <c r="G10" s="1">
        <v>6.1</v>
      </c>
    </row>
    <row r="11" spans="1:7" x14ac:dyDescent="0.25">
      <c r="B11" s="1">
        <v>0</v>
      </c>
      <c r="E11" s="1">
        <v>3.1</v>
      </c>
      <c r="G11" s="1">
        <v>6.1</v>
      </c>
    </row>
    <row r="12" spans="1:7" x14ac:dyDescent="0.25">
      <c r="E12" s="1">
        <v>2.2000000000000002</v>
      </c>
      <c r="G12" s="1">
        <v>6.1</v>
      </c>
    </row>
    <row r="13" spans="1:7" x14ac:dyDescent="0.25">
      <c r="E13" s="1">
        <v>2.1</v>
      </c>
      <c r="G13" s="1">
        <v>6.1</v>
      </c>
    </row>
    <row r="14" spans="1:7" x14ac:dyDescent="0.25">
      <c r="E14" s="1">
        <v>0</v>
      </c>
      <c r="G14" s="1">
        <v>6.1</v>
      </c>
    </row>
    <row r="15" spans="1:7" x14ac:dyDescent="0.25">
      <c r="E15" s="1">
        <v>2.2999999999999998</v>
      </c>
      <c r="G15" s="1">
        <v>3.3</v>
      </c>
    </row>
    <row r="16" spans="1:7" x14ac:dyDescent="0.25">
      <c r="E16" s="1">
        <v>0</v>
      </c>
      <c r="G16" s="1">
        <v>3.3</v>
      </c>
    </row>
    <row r="17" spans="5:7" x14ac:dyDescent="0.25">
      <c r="E17" s="1">
        <v>0</v>
      </c>
      <c r="G17" s="1">
        <v>0</v>
      </c>
    </row>
    <row r="18" spans="5:7" x14ac:dyDescent="0.25">
      <c r="E18" s="1">
        <v>0</v>
      </c>
      <c r="G18" s="1">
        <v>6.1</v>
      </c>
    </row>
    <row r="19" spans="5:7" x14ac:dyDescent="0.25">
      <c r="E19" s="1">
        <v>0</v>
      </c>
      <c r="G19" s="1">
        <v>4.3</v>
      </c>
    </row>
    <row r="20" spans="5:7" x14ac:dyDescent="0.25">
      <c r="E20" s="1">
        <v>0</v>
      </c>
      <c r="G20" s="1">
        <v>0</v>
      </c>
    </row>
    <row r="21" spans="5:7" x14ac:dyDescent="0.25">
      <c r="E21" s="1">
        <v>2.1</v>
      </c>
      <c r="G21" s="1">
        <v>6.1</v>
      </c>
    </row>
    <row r="22" spans="5:7" x14ac:dyDescent="0.25">
      <c r="G22" s="1">
        <v>3.1</v>
      </c>
    </row>
    <row r="23" spans="5:7" x14ac:dyDescent="0.25">
      <c r="G23" s="1">
        <v>6.1</v>
      </c>
    </row>
    <row r="24" spans="5:7" x14ac:dyDescent="0.25">
      <c r="G24" s="1">
        <v>3.1</v>
      </c>
    </row>
    <row r="25" spans="5:7" x14ac:dyDescent="0.25">
      <c r="G25" s="1">
        <v>3.1</v>
      </c>
    </row>
  </sheetData>
  <autoFilter ref="A1:G1"/>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D23" sqref="D23"/>
    </sheetView>
  </sheetViews>
  <sheetFormatPr defaultRowHeight="15" x14ac:dyDescent="0.25"/>
  <cols>
    <col min="1" max="1" width="11.42578125" bestFit="1" customWidth="1"/>
    <col min="2" max="2" width="12.42578125" bestFit="1" customWidth="1"/>
    <col min="3" max="3" width="14.42578125" customWidth="1"/>
    <col min="4" max="4" width="9.85546875" customWidth="1"/>
    <col min="5" max="5" width="10.42578125" bestFit="1" customWidth="1"/>
    <col min="6" max="6" width="17.7109375" bestFit="1" customWidth="1"/>
    <col min="7" max="7" width="18.42578125" bestFit="1" customWidth="1"/>
    <col min="8" max="8" width="21.42578125" bestFit="1" customWidth="1"/>
  </cols>
  <sheetData>
    <row r="1" spans="1:8" x14ac:dyDescent="0.25">
      <c r="A1" s="19"/>
      <c r="B1" s="27" t="s">
        <v>3</v>
      </c>
      <c r="C1" s="27" t="s">
        <v>236</v>
      </c>
      <c r="D1" s="27" t="s">
        <v>237</v>
      </c>
      <c r="E1" s="27" t="s">
        <v>5</v>
      </c>
      <c r="F1" s="27" t="s">
        <v>98</v>
      </c>
      <c r="G1" s="27" t="s">
        <v>4</v>
      </c>
      <c r="H1" s="27" t="s">
        <v>45</v>
      </c>
    </row>
    <row r="2" spans="1:8" x14ac:dyDescent="0.25">
      <c r="A2" s="27" t="s">
        <v>226</v>
      </c>
      <c r="B2" s="20">
        <v>5</v>
      </c>
      <c r="C2" s="20">
        <v>3</v>
      </c>
      <c r="D2" s="20">
        <v>2</v>
      </c>
      <c r="E2" s="20">
        <v>0</v>
      </c>
      <c r="F2" s="20">
        <v>12</v>
      </c>
      <c r="G2" s="20">
        <v>0</v>
      </c>
      <c r="H2" s="20">
        <v>8</v>
      </c>
    </row>
    <row r="3" spans="1:8" x14ac:dyDescent="0.25">
      <c r="A3" s="27" t="s">
        <v>299</v>
      </c>
      <c r="B3" s="20">
        <v>1</v>
      </c>
      <c r="C3" s="20">
        <v>4</v>
      </c>
      <c r="D3" s="20">
        <v>0</v>
      </c>
      <c r="E3" s="20">
        <v>2</v>
      </c>
      <c r="F3" s="20">
        <v>2</v>
      </c>
      <c r="G3" s="20">
        <v>7</v>
      </c>
      <c r="H3" s="20">
        <v>13</v>
      </c>
    </row>
    <row r="4" spans="1:8" x14ac:dyDescent="0.25">
      <c r="A4" s="27" t="s">
        <v>300</v>
      </c>
      <c r="B4" s="20">
        <v>2</v>
      </c>
      <c r="C4" s="20">
        <v>3</v>
      </c>
      <c r="D4" s="19">
        <v>0</v>
      </c>
      <c r="E4" s="20">
        <v>1</v>
      </c>
      <c r="F4" s="20">
        <v>6</v>
      </c>
      <c r="G4" s="20">
        <v>2</v>
      </c>
      <c r="H4" s="20">
        <v>3</v>
      </c>
    </row>
    <row r="5" spans="1:8" s="9" customFormat="1" x14ac:dyDescent="0.25">
      <c r="B5" s="21"/>
      <c r="C5" s="21"/>
      <c r="F5" s="21"/>
      <c r="G5" s="21"/>
      <c r="H5" s="21"/>
    </row>
    <row r="6" spans="1:8" x14ac:dyDescent="0.25">
      <c r="B6" s="1"/>
      <c r="C6" s="1"/>
      <c r="F6" s="1"/>
      <c r="G6" s="1"/>
      <c r="H6" s="1"/>
    </row>
    <row r="7" spans="1:8" x14ac:dyDescent="0.25">
      <c r="B7" s="1"/>
      <c r="C7" s="1"/>
      <c r="F7" s="1"/>
      <c r="G7" s="1"/>
      <c r="H7" s="1"/>
    </row>
    <row r="8" spans="1:8" x14ac:dyDescent="0.25">
      <c r="B8" s="1"/>
      <c r="C8" s="1"/>
      <c r="F8" s="1"/>
      <c r="G8" s="1"/>
      <c r="H8" s="1"/>
    </row>
    <row r="9" spans="1:8" x14ac:dyDescent="0.25">
      <c r="B9" s="1"/>
      <c r="F9" s="1"/>
      <c r="G9" s="1"/>
      <c r="H9" s="1"/>
    </row>
    <row r="10" spans="1:8" x14ac:dyDescent="0.25">
      <c r="F10" s="1"/>
      <c r="G10" s="1"/>
      <c r="H10" s="1"/>
    </row>
    <row r="11" spans="1:8" x14ac:dyDescent="0.25">
      <c r="F11" s="1"/>
      <c r="H11" s="1"/>
    </row>
    <row r="12" spans="1:8" x14ac:dyDescent="0.25">
      <c r="F12" s="1"/>
      <c r="H12" s="1"/>
    </row>
    <row r="13" spans="1:8" x14ac:dyDescent="0.25">
      <c r="F13" s="1"/>
      <c r="H13" s="1"/>
    </row>
    <row r="14" spans="1:8" x14ac:dyDescent="0.25">
      <c r="F14" s="1"/>
      <c r="H14" s="1"/>
    </row>
    <row r="15" spans="1:8" x14ac:dyDescent="0.25">
      <c r="F15" s="1"/>
      <c r="H15" s="1"/>
    </row>
    <row r="16" spans="1:8" x14ac:dyDescent="0.25">
      <c r="F16" s="1"/>
      <c r="H16" s="1"/>
    </row>
    <row r="17" spans="6:8" x14ac:dyDescent="0.25">
      <c r="F17" s="1"/>
      <c r="H17" s="1"/>
    </row>
    <row r="18" spans="6:8" x14ac:dyDescent="0.25">
      <c r="F18" s="1"/>
      <c r="H18" s="1"/>
    </row>
    <row r="19" spans="6:8" x14ac:dyDescent="0.25">
      <c r="F19" s="1"/>
      <c r="H19" s="1"/>
    </row>
    <row r="20" spans="6:8" x14ac:dyDescent="0.25">
      <c r="F20" s="1"/>
      <c r="H20" s="1"/>
    </row>
    <row r="21" spans="6:8" x14ac:dyDescent="0.25">
      <c r="F21" s="1"/>
      <c r="H21" s="1"/>
    </row>
    <row r="22" spans="6:8" x14ac:dyDescent="0.25">
      <c r="H22" s="1"/>
    </row>
    <row r="23" spans="6:8" x14ac:dyDescent="0.25">
      <c r="H23" s="1"/>
    </row>
    <row r="24" spans="6:8" x14ac:dyDescent="0.25">
      <c r="H24" s="1"/>
    </row>
    <row r="25" spans="6:8" x14ac:dyDescent="0.25">
      <c r="H25" s="1"/>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D21" sqref="D21"/>
    </sheetView>
  </sheetViews>
  <sheetFormatPr defaultRowHeight="15" x14ac:dyDescent="0.25"/>
  <cols>
    <col min="1" max="1" width="47.42578125" bestFit="1" customWidth="1"/>
    <col min="2" max="2" width="11.42578125" bestFit="1" customWidth="1"/>
    <col min="3" max="3" width="12.42578125" bestFit="1" customWidth="1"/>
    <col min="4" max="4" width="9.85546875" bestFit="1" customWidth="1"/>
    <col min="5" max="5" width="6" bestFit="1" customWidth="1"/>
    <col min="6" max="6" width="10.42578125" bestFit="1" customWidth="1"/>
    <col min="7" max="7" width="17.7109375" bestFit="1" customWidth="1"/>
    <col min="8" max="8" width="20.42578125" bestFit="1" customWidth="1"/>
  </cols>
  <sheetData>
    <row r="1" spans="1:8" x14ac:dyDescent="0.25">
      <c r="B1" t="s">
        <v>3</v>
      </c>
      <c r="C1" t="s">
        <v>236</v>
      </c>
      <c r="D1" t="s">
        <v>237</v>
      </c>
      <c r="E1" t="s">
        <v>5</v>
      </c>
      <c r="F1" t="s">
        <v>98</v>
      </c>
      <c r="G1" t="s">
        <v>4</v>
      </c>
      <c r="H1" t="s">
        <v>45</v>
      </c>
    </row>
    <row r="2" spans="1:8" x14ac:dyDescent="0.25">
      <c r="A2" t="s">
        <v>301</v>
      </c>
      <c r="B2" s="1"/>
      <c r="C2" s="1"/>
      <c r="D2" s="1"/>
      <c r="E2" s="1"/>
      <c r="F2" s="1"/>
      <c r="G2" s="1"/>
    </row>
    <row r="3" spans="1:8" x14ac:dyDescent="0.25">
      <c r="A3" t="s">
        <v>302</v>
      </c>
      <c r="B3" s="1"/>
      <c r="C3" s="1">
        <v>2</v>
      </c>
      <c r="D3" s="1"/>
      <c r="E3" s="1"/>
      <c r="F3" s="1"/>
      <c r="G3" s="1"/>
    </row>
    <row r="4" spans="1:8" x14ac:dyDescent="0.25">
      <c r="A4" t="s">
        <v>303</v>
      </c>
      <c r="B4" s="1"/>
      <c r="C4" s="1"/>
      <c r="E4" s="1"/>
      <c r="F4" s="1"/>
      <c r="G4" s="1"/>
    </row>
    <row r="5" spans="1:8" x14ac:dyDescent="0.25">
      <c r="A5" t="s">
        <v>304</v>
      </c>
      <c r="B5" s="1">
        <v>3</v>
      </c>
      <c r="C5" s="1"/>
      <c r="F5" s="1">
        <v>6</v>
      </c>
      <c r="G5" s="1"/>
    </row>
    <row r="6" spans="1:8" x14ac:dyDescent="0.25">
      <c r="A6" t="s">
        <v>305</v>
      </c>
      <c r="B6" s="1"/>
      <c r="C6" s="1">
        <v>1</v>
      </c>
      <c r="F6" s="1">
        <v>1</v>
      </c>
      <c r="G6" s="1"/>
    </row>
    <row r="7" spans="1:8" x14ac:dyDescent="0.25">
      <c r="A7" t="s">
        <v>306</v>
      </c>
      <c r="B7" s="1">
        <v>2</v>
      </c>
      <c r="C7" s="1"/>
      <c r="D7">
        <v>2</v>
      </c>
      <c r="F7" s="1">
        <v>2</v>
      </c>
      <c r="G7" s="1"/>
    </row>
    <row r="8" spans="1:8" x14ac:dyDescent="0.25">
      <c r="A8" t="s">
        <v>307</v>
      </c>
      <c r="B8" s="1"/>
      <c r="C8" s="1"/>
      <c r="F8" s="1">
        <v>3</v>
      </c>
      <c r="G8" s="1"/>
      <c r="H8">
        <v>5</v>
      </c>
    </row>
    <row r="9" spans="1:8" x14ac:dyDescent="0.25">
      <c r="A9" t="s">
        <v>308</v>
      </c>
      <c r="B9" s="1"/>
      <c r="G9" s="1"/>
    </row>
    <row r="10" spans="1:8" x14ac:dyDescent="0.25">
      <c r="A10" t="s">
        <v>309</v>
      </c>
      <c r="F10" s="1"/>
      <c r="G10" s="1"/>
      <c r="H10">
        <v>3</v>
      </c>
    </row>
    <row r="11" spans="1:8" x14ac:dyDescent="0.25">
      <c r="A11" t="s">
        <v>310</v>
      </c>
      <c r="F11" s="1"/>
    </row>
    <row r="12" spans="1:8" x14ac:dyDescent="0.25">
      <c r="A12" t="s">
        <v>311</v>
      </c>
      <c r="F12" s="1"/>
    </row>
    <row r="13" spans="1:8" x14ac:dyDescent="0.25">
      <c r="A13" t="s">
        <v>313</v>
      </c>
      <c r="F13" s="1"/>
      <c r="H13">
        <v>2</v>
      </c>
    </row>
    <row r="14" spans="1:8" x14ac:dyDescent="0.25">
      <c r="A14" t="s">
        <v>314</v>
      </c>
      <c r="F14" s="1"/>
    </row>
    <row r="15" spans="1:8" x14ac:dyDescent="0.25">
      <c r="A15" t="s">
        <v>312</v>
      </c>
      <c r="F15" s="1"/>
    </row>
    <row r="16" spans="1:8" x14ac:dyDescent="0.25">
      <c r="A16" t="s">
        <v>315</v>
      </c>
      <c r="B16">
        <v>1</v>
      </c>
      <c r="E16">
        <v>2</v>
      </c>
      <c r="F16" s="1"/>
      <c r="G16">
        <v>3</v>
      </c>
      <c r="H16">
        <v>11</v>
      </c>
    </row>
    <row r="17" spans="1:8" x14ac:dyDescent="0.25">
      <c r="A17" t="s">
        <v>316</v>
      </c>
      <c r="F17" s="1"/>
      <c r="G17">
        <v>4</v>
      </c>
    </row>
    <row r="18" spans="1:8" x14ac:dyDescent="0.25">
      <c r="A18" t="s">
        <v>317</v>
      </c>
      <c r="C18">
        <v>3</v>
      </c>
      <c r="F18" s="1"/>
    </row>
    <row r="19" spans="1:8" x14ac:dyDescent="0.25">
      <c r="A19" t="s">
        <v>318</v>
      </c>
      <c r="C19">
        <v>1</v>
      </c>
      <c r="F19" s="1">
        <v>2</v>
      </c>
    </row>
    <row r="20" spans="1:8" x14ac:dyDescent="0.25">
      <c r="A20" t="s">
        <v>47</v>
      </c>
      <c r="B20">
        <v>2</v>
      </c>
      <c r="C20">
        <v>3</v>
      </c>
      <c r="E20">
        <v>1</v>
      </c>
      <c r="F20" s="1">
        <v>6</v>
      </c>
      <c r="G20">
        <v>2</v>
      </c>
      <c r="H20">
        <v>3</v>
      </c>
    </row>
    <row r="21" spans="1:8" x14ac:dyDescent="0.25">
      <c r="F21" s="1"/>
      <c r="H21" s="1"/>
    </row>
    <row r="22" spans="1:8" x14ac:dyDescent="0.25">
      <c r="H22" s="1"/>
    </row>
    <row r="23" spans="1:8" x14ac:dyDescent="0.25">
      <c r="H23" s="1"/>
    </row>
    <row r="24" spans="1:8" x14ac:dyDescent="0.25">
      <c r="H24" s="1"/>
    </row>
    <row r="25" spans="1:8" x14ac:dyDescent="0.25">
      <c r="H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Events</vt:lpstr>
      <vt:lpstr>News Sources</vt:lpstr>
      <vt:lpstr>Overall Over Time</vt:lpstr>
      <vt:lpstr>Mechanism by Category</vt:lpstr>
      <vt:lpstr>Data by Category</vt:lpstr>
      <vt:lpstr>Contest-Compliance by Category</vt:lpstr>
      <vt:lpstr>Specific Mech Used by Category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dc:creator>
  <cp:lastModifiedBy>%USERNAME%</cp:lastModifiedBy>
  <dcterms:created xsi:type="dcterms:W3CDTF">2016-09-20T09:59:35Z</dcterms:created>
  <dcterms:modified xsi:type="dcterms:W3CDTF">2017-03-22T15:41:39Z</dcterms:modified>
</cp:coreProperties>
</file>